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strukcja" sheetId="2" state="visible" r:id="rId2"/>
    <sheet xmlns:r="http://schemas.openxmlformats.org/officeDocument/2006/relationships" name="Mapowanie SKU" sheetId="3" state="visible" r:id="rId3"/>
    <sheet xmlns:r="http://schemas.openxmlformats.org/officeDocument/2006/relationships" name="Kursy" sheetId="4" state="visible" r:id="rId4"/>
    <sheet xmlns:r="http://schemas.openxmlformats.org/officeDocument/2006/relationships" name="Zamowienia" sheetId="5" state="visible" r:id="rId5"/>
  </sheets>
  <definedNames>
    <definedName name="_xlnm._FilterDatabase" localSheetId="4" hidden="1">'Zamowienia'!$A$4:$Q$144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 ##0.00"/>
    <numFmt numFmtId="165" formatCode="0.0000"/>
    <numFmt numFmtId="166" formatCode="0.0%"/>
  </numFmts>
  <fonts count="9">
    <font>
      <name val="Calibri"/>
      <family val="2"/>
      <color theme="1"/>
      <sz val="11"/>
      <scheme val="minor"/>
    </font>
    <font>
      <b val="1"/>
      <color rgb="001F2937"/>
      <sz val="16"/>
    </font>
    <font>
      <color rgb="006B7280"/>
      <sz val="10"/>
    </font>
    <font>
      <b val="1"/>
      <color rgb="002563EB"/>
      <sz val="11"/>
    </font>
    <font>
      <b val="1"/>
      <color rgb="00FFFFFF"/>
      <sz val="11"/>
    </font>
    <font>
      <b val="1"/>
      <color rgb="002563EB"/>
      <sz val="12"/>
    </font>
    <font>
      <b val="1"/>
      <sz val="11"/>
    </font>
    <font>
      <b val="1"/>
      <color rgb="00047857"/>
      <sz val="11"/>
    </font>
    <font>
      <color rgb="009CA3AF"/>
      <sz val="9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5" fillId="0" borderId="0" pivotButton="0" quotePrefix="0" xfId="0"/>
    <xf numFmtId="0" fontId="2" fillId="0" borderId="1" pivotButton="0" quotePrefix="0" xfId="0"/>
    <xf numFmtId="164" fontId="6" fillId="0" borderId="1" pivotButton="0" quotePrefix="0" xfId="0"/>
    <xf numFmtId="0" fontId="4" fillId="2" borderId="0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166" fontId="0" fillId="0" borderId="1" pivotButton="0" quotePrefix="0" xfId="0"/>
    <xf numFmtId="166" fontId="7" fillId="0" borderId="0" pivotButton="0" quotePrefix="0" xfId="0"/>
    <xf numFmtId="0" fontId="8" fillId="0" borderId="0" pivotButton="0" quotePrefix="0" xfId="0"/>
    <xf numFmtId="0" fontId="3" fillId="0" borderId="0" pivotButton="0" quotePrefix="0" xfId="0"/>
    <xf numFmtId="165" fontId="0" fillId="0" borderId="0" pivotButton="0" quotePrefix="0" xfId="0"/>
    <xf numFmtId="164" fontId="0" fillId="0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dxfs count="1">
    <dxf>
      <font>
        <b val="1"/>
        <color rgb="00B91C1C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Marza wg kanalu i kraju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'Dashboard'!G6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'Dashboard'!$D$7:$D$15</f>
            </numRef>
          </cat>
          <val>
            <numRef>
              <f>'Dashboard'!$G$7:$G$15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5</row>
      <rowOff>0</rowOff>
    </from>
    <ext cx="61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2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5" customWidth="1" min="3" max="3"/>
    <col width="15" customWidth="1" min="4" max="4"/>
    <col width="15" customWidth="1" min="5" max="5"/>
    <col width="15" customWidth="1" min="6" max="6"/>
    <col width="13" customWidth="1" min="7" max="7"/>
    <col width="13" customWidth="1" min="8" max="8"/>
  </cols>
  <sheetData>
    <row r="2">
      <c r="B2" s="1" t="inlineStr">
        <is>
          <t>Rentownosc sprzedazy - czerwiec 2026</t>
        </is>
      </c>
    </row>
    <row r="3">
      <c r="B3" s="2" t="inlineStr">
        <is>
          <t>Demo. Przychod netto = po odjeciu zamowien zwroconych. Kafle sumuja sie do marzy.</t>
        </is>
      </c>
    </row>
    <row r="5">
      <c r="B5" s="3" t="inlineStr">
        <is>
          <t>Podsumowanie</t>
        </is>
      </c>
      <c r="E5" s="3" t="inlineStr">
        <is>
          <t>Rentownosc wg kanalu i kraju</t>
        </is>
      </c>
    </row>
    <row r="6" ht="30" customHeight="1">
      <c r="B6" s="4" t="inlineStr">
        <is>
          <t>Przychod netto</t>
        </is>
      </c>
      <c r="C6" s="5">
        <f>ROUND(SUM(F7:F15),2)</f>
        <v/>
      </c>
      <c r="D6" s="6" t="inlineStr">
        <is>
          <t>Kanal</t>
        </is>
      </c>
      <c r="E6" s="6" t="inlineStr">
        <is>
          <t>Kraj</t>
        </is>
      </c>
      <c r="F6" s="6" t="inlineStr">
        <is>
          <t>Przychod netto</t>
        </is>
      </c>
      <c r="G6" s="6" t="inlineStr">
        <is>
          <t>Marza</t>
        </is>
      </c>
      <c r="H6" s="6" t="inlineStr">
        <is>
          <t>Marza %</t>
        </is>
      </c>
    </row>
    <row r="7">
      <c r="B7" s="4" t="inlineStr">
        <is>
          <t>Koszt towaru</t>
        </is>
      </c>
      <c r="C7" s="5">
        <f>ROUND(SUMIF(Zamowienia!$O$5:$O$144,"",Zamowienia!$J$5:$J$144),2)</f>
        <v/>
      </c>
      <c r="D7" s="7" t="inlineStr">
        <is>
          <t>Amazon</t>
        </is>
      </c>
      <c r="E7" s="7" t="inlineStr">
        <is>
          <t>DE</t>
        </is>
      </c>
      <c r="F7" s="8">
        <f>ROUND(SUMIFS(Zamowienia!$I$5:$I$144,Zamowienia!$B$5:$B$144,D7,Zamowienia!$C$5:$C$144,E7,Zamowienia!$O$5:$O$144,""),2)</f>
        <v/>
      </c>
      <c r="G7" s="8">
        <f>ROUND(SUMIFS(Zamowienia!$P$5:$P$144,Zamowienia!$B$5:$B$144,D7,Zamowienia!$C$5:$C$144,E7),2)</f>
        <v/>
      </c>
      <c r="H7" s="9">
        <f>IF(F7=0,0,G7/F7)</f>
        <v/>
      </c>
    </row>
    <row r="8">
      <c r="B8" s="4" t="inlineStr">
        <is>
          <t>Prowizje</t>
        </is>
      </c>
      <c r="C8" s="5">
        <f>ROUND(SUMIF(Zamowienia!$O$5:$O$144,"",Zamowienia!$K$5:$K$144),2)</f>
        <v/>
      </c>
      <c r="D8" s="7" t="inlineStr">
        <is>
          <t>Amazon</t>
        </is>
      </c>
      <c r="E8" s="7" t="inlineStr">
        <is>
          <t>FR</t>
        </is>
      </c>
      <c r="F8" s="8">
        <f>ROUND(SUMIFS(Zamowienia!$I$5:$I$144,Zamowienia!$B$5:$B$144,D8,Zamowienia!$C$5:$C$144,E8,Zamowienia!$O$5:$O$144,""),2)</f>
        <v/>
      </c>
      <c r="G8" s="8">
        <f>ROUND(SUMIFS(Zamowienia!$P$5:$P$144,Zamowienia!$B$5:$B$144,D8,Zamowienia!$C$5:$C$144,E8),2)</f>
        <v/>
      </c>
      <c r="H8" s="9">
        <f>IF(F8=0,0,G8/F8)</f>
        <v/>
      </c>
    </row>
    <row r="9">
      <c r="B9" s="4" t="inlineStr">
        <is>
          <t>Reklama</t>
        </is>
      </c>
      <c r="C9" s="5">
        <f>ROUND(SUMIF(Zamowienia!$O$5:$O$144,"",Zamowienia!$L$5:$L$144),2)</f>
        <v/>
      </c>
      <c r="D9" s="7" t="inlineStr">
        <is>
          <t>Amazon</t>
        </is>
      </c>
      <c r="E9" s="7" t="inlineStr">
        <is>
          <t>IT</t>
        </is>
      </c>
      <c r="F9" s="8">
        <f>ROUND(SUMIFS(Zamowienia!$I$5:$I$144,Zamowienia!$B$5:$B$144,D9,Zamowienia!$C$5:$C$144,E9,Zamowienia!$O$5:$O$144,""),2)</f>
        <v/>
      </c>
      <c r="G9" s="8">
        <f>ROUND(SUMIFS(Zamowienia!$P$5:$P$144,Zamowienia!$B$5:$B$144,D9,Zamowienia!$C$5:$C$144,E9),2)</f>
        <v/>
      </c>
      <c r="H9" s="9">
        <f>IF(F9=0,0,G9/F9)</f>
        <v/>
      </c>
    </row>
    <row r="10">
      <c r="B10" s="4" t="inlineStr">
        <is>
          <t>Kurier</t>
        </is>
      </c>
      <c r="C10" s="5">
        <f>ROUND(SUMIF(Zamowienia!$O$5:$O$144,"",Zamowienia!$N$5:$N$144),2)</f>
        <v/>
      </c>
      <c r="D10" s="7" t="inlineStr">
        <is>
          <t>Amazon</t>
        </is>
      </c>
      <c r="E10" s="7" t="inlineStr">
        <is>
          <t>ES</t>
        </is>
      </c>
      <c r="F10" s="8">
        <f>ROUND(SUMIFS(Zamowienia!$I$5:$I$144,Zamowienia!$B$5:$B$144,D10,Zamowienia!$C$5:$C$144,E10,Zamowienia!$O$5:$O$144,""),2)</f>
        <v/>
      </c>
      <c r="G10" s="8">
        <f>ROUND(SUMIFS(Zamowienia!$P$5:$P$144,Zamowienia!$B$5:$B$144,D10,Zamowienia!$C$5:$C$144,E10),2)</f>
        <v/>
      </c>
      <c r="H10" s="9">
        <f>IF(F10=0,0,G10/F10)</f>
        <v/>
      </c>
    </row>
    <row r="11">
      <c r="B11" s="4" t="inlineStr">
        <is>
          <t>Zwroty - koszt</t>
        </is>
      </c>
      <c r="C11" s="5">
        <f>ROUND(SUMIF(Zamowienia!$O$5:$O$144,"TAK",Zamowienia!$K$5:$K$144)+SUMIF(Zamowienia!$O$5:$O$144,"TAK",Zamowienia!$L$5:$L$144)+SUMIF(Zamowienia!$O$5:$O$144,"TAK",Zamowienia!$N$5:$N$144),2)</f>
        <v/>
      </c>
      <c r="D11" s="7" t="inlineStr">
        <is>
          <t>eBay</t>
        </is>
      </c>
      <c r="E11" s="7" t="inlineStr">
        <is>
          <t>DE</t>
        </is>
      </c>
      <c r="F11" s="8">
        <f>ROUND(SUMIFS(Zamowienia!$I$5:$I$144,Zamowienia!$B$5:$B$144,D11,Zamowienia!$C$5:$C$144,E11,Zamowienia!$O$5:$O$144,""),2)</f>
        <v/>
      </c>
      <c r="G11" s="8">
        <f>ROUND(SUMIFS(Zamowienia!$P$5:$P$144,Zamowienia!$B$5:$B$144,D11,Zamowienia!$C$5:$C$144,E11),2)</f>
        <v/>
      </c>
      <c r="H11" s="9">
        <f>IF(F11=0,0,G11/F11)</f>
        <v/>
      </c>
    </row>
    <row r="12">
      <c r="B12" s="4" t="inlineStr">
        <is>
          <t>Marza PLN</t>
        </is>
      </c>
      <c r="C12" s="5">
        <f>ROUND(SUM(G7:G15),2)</f>
        <v/>
      </c>
      <c r="D12" s="7" t="inlineStr">
        <is>
          <t>eBay</t>
        </is>
      </c>
      <c r="E12" s="7" t="inlineStr">
        <is>
          <t>FR</t>
        </is>
      </c>
      <c r="F12" s="8">
        <f>ROUND(SUMIFS(Zamowienia!$I$5:$I$144,Zamowienia!$B$5:$B$144,D12,Zamowienia!$C$5:$C$144,E12,Zamowienia!$O$5:$O$144,""),2)</f>
        <v/>
      </c>
      <c r="G12" s="8">
        <f>ROUND(SUMIFS(Zamowienia!$P$5:$P$144,Zamowienia!$B$5:$B$144,D12,Zamowienia!$C$5:$C$144,E12),2)</f>
        <v/>
      </c>
      <c r="H12" s="9">
        <f>IF(F12=0,0,G12/F12)</f>
        <v/>
      </c>
    </row>
    <row r="13">
      <c r="D13" s="7" t="inlineStr">
        <is>
          <t>Allegro</t>
        </is>
      </c>
      <c r="E13" s="7" t="inlineStr">
        <is>
          <t>PL</t>
        </is>
      </c>
      <c r="F13" s="8">
        <f>ROUND(SUMIFS(Zamowienia!$I$5:$I$144,Zamowienia!$B$5:$B$144,D13,Zamowienia!$C$5:$C$144,E13,Zamowienia!$O$5:$O$144,""),2)</f>
        <v/>
      </c>
      <c r="G13" s="8">
        <f>ROUND(SUMIFS(Zamowienia!$P$5:$P$144,Zamowienia!$B$5:$B$144,D13,Zamowienia!$C$5:$C$144,E13),2)</f>
        <v/>
      </c>
      <c r="H13" s="9">
        <f>IF(F13=0,0,G13/F13)</f>
        <v/>
      </c>
    </row>
    <row r="14">
      <c r="B14" s="2" t="inlineStr">
        <is>
          <t>Marza %</t>
        </is>
      </c>
      <c r="C14" s="10">
        <f>IF(C6=0,0,C12/C6)</f>
        <v/>
      </c>
      <c r="D14" s="7" t="inlineStr">
        <is>
          <t>Allegro</t>
        </is>
      </c>
      <c r="E14" s="7" t="inlineStr">
        <is>
          <t>CZ</t>
        </is>
      </c>
      <c r="F14" s="8">
        <f>ROUND(SUMIFS(Zamowienia!$I$5:$I$144,Zamowienia!$B$5:$B$144,D14,Zamowienia!$C$5:$C$144,E14,Zamowienia!$O$5:$O$144,""),2)</f>
        <v/>
      </c>
      <c r="G14" s="8">
        <f>ROUND(SUMIFS(Zamowienia!$P$5:$P$144,Zamowienia!$B$5:$B$144,D14,Zamowienia!$C$5:$C$144,E14),2)</f>
        <v/>
      </c>
      <c r="H14" s="9">
        <f>IF(F14=0,0,G14/F14)</f>
        <v/>
      </c>
    </row>
    <row r="15">
      <c r="D15" s="7" t="inlineStr">
        <is>
          <t>PrestaShop</t>
        </is>
      </c>
      <c r="E15" s="7" t="inlineStr">
        <is>
          <t>PL</t>
        </is>
      </c>
      <c r="F15" s="8">
        <f>ROUND(SUMIFS(Zamowienia!$I$5:$I$144,Zamowienia!$B$5:$B$144,D15,Zamowienia!$C$5:$C$144,E15,Zamowienia!$O$5:$O$144,""),2)</f>
        <v/>
      </c>
      <c r="G15" s="8">
        <f>ROUND(SUMIFS(Zamowienia!$P$5:$P$144,Zamowienia!$B$5:$B$144,D15,Zamowienia!$C$5:$C$144,E15),2)</f>
        <v/>
      </c>
      <c r="H15" s="9">
        <f>IF(F15=0,0,G15/F15)</f>
        <v/>
      </c>
    </row>
    <row r="16">
      <c r="B16" s="3" t="inlineStr">
        <is>
          <t>Rentownosc wg SKU</t>
        </is>
      </c>
    </row>
    <row r="17" ht="30" customHeight="1">
      <c r="B17" s="6" t="inlineStr">
        <is>
          <t>SKU</t>
        </is>
      </c>
      <c r="C17" s="6" t="inlineStr">
        <is>
          <t>Nazwa</t>
        </is>
      </c>
      <c r="D17" s="6" t="inlineStr">
        <is>
          <t>Przychod netto</t>
        </is>
      </c>
      <c r="E17" s="6" t="inlineStr">
        <is>
          <t>Marza</t>
        </is>
      </c>
      <c r="F17" s="6" t="inlineStr">
        <is>
          <t>Marza %</t>
        </is>
      </c>
    </row>
    <row r="18">
      <c r="B18" s="7" t="inlineStr">
        <is>
          <t>LMP-001</t>
        </is>
      </c>
      <c r="C18" s="7" t="inlineStr">
        <is>
          <t>Lampa biurkowa Nord</t>
        </is>
      </c>
      <c r="D18" s="8">
        <f>ROUND(SUMIFS(Zamowienia!$I$5:$I$144,Zamowienia!$D$5:$D$144,B18,Zamowienia!$O$5:$O$144,""),2)</f>
        <v/>
      </c>
      <c r="E18" s="8">
        <f>ROUND(SUMIF(Zamowienia!$D$5:$D$144,B18,Zamowienia!$P$5:$P$144),2)</f>
        <v/>
      </c>
      <c r="F18" s="9">
        <f>IF(D18=0,0,E18/D18)</f>
        <v/>
      </c>
    </row>
    <row r="19">
      <c r="B19" s="7" t="inlineStr">
        <is>
          <t>LMP-002</t>
        </is>
      </c>
      <c r="C19" s="7" t="inlineStr">
        <is>
          <t>Lampa stojaca Fjord</t>
        </is>
      </c>
      <c r="D19" s="8">
        <f>ROUND(SUMIFS(Zamowienia!$I$5:$I$144,Zamowienia!$D$5:$D$144,B19,Zamowienia!$O$5:$O$144,""),2)</f>
        <v/>
      </c>
      <c r="E19" s="8">
        <f>ROUND(SUMIF(Zamowienia!$D$5:$D$144,B19,Zamowienia!$P$5:$P$144),2)</f>
        <v/>
      </c>
      <c r="F19" s="9">
        <f>IF(D19=0,0,E19/D19)</f>
        <v/>
      </c>
    </row>
    <row r="20">
      <c r="B20" s="7" t="inlineStr">
        <is>
          <t>KRZ-010</t>
        </is>
      </c>
      <c r="C20" s="7" t="inlineStr">
        <is>
          <t>Krzeslo Aster</t>
        </is>
      </c>
      <c r="D20" s="8">
        <f>ROUND(SUMIFS(Zamowienia!$I$5:$I$144,Zamowienia!$D$5:$D$144,B20,Zamowienia!$O$5:$O$144,""),2)</f>
        <v/>
      </c>
      <c r="E20" s="8">
        <f>ROUND(SUMIF(Zamowienia!$D$5:$D$144,B20,Zamowienia!$P$5:$P$144),2)</f>
        <v/>
      </c>
      <c r="F20" s="9">
        <f>IF(D20=0,0,E20/D20)</f>
        <v/>
      </c>
    </row>
    <row r="21">
      <c r="B21" s="7" t="inlineStr">
        <is>
          <t>KRZ-011</t>
        </is>
      </c>
      <c r="C21" s="7" t="inlineStr">
        <is>
          <t>Krzeslo Aster Plus</t>
        </is>
      </c>
      <c r="D21" s="8">
        <f>ROUND(SUMIFS(Zamowienia!$I$5:$I$144,Zamowienia!$D$5:$D$144,B21,Zamowienia!$O$5:$O$144,""),2)</f>
        <v/>
      </c>
      <c r="E21" s="8">
        <f>ROUND(SUMIF(Zamowienia!$D$5:$D$144,B21,Zamowienia!$P$5:$P$144),2)</f>
        <v/>
      </c>
      <c r="F21" s="9">
        <f>IF(D21=0,0,E21/D21)</f>
        <v/>
      </c>
    </row>
    <row r="22">
      <c r="B22" s="7" t="inlineStr">
        <is>
          <t>STO-100</t>
        </is>
      </c>
      <c r="C22" s="7" t="inlineStr">
        <is>
          <t>Stolik Vika</t>
        </is>
      </c>
      <c r="D22" s="8">
        <f>ROUND(SUMIFS(Zamowienia!$I$5:$I$144,Zamowienia!$D$5:$D$144,B22,Zamowienia!$O$5:$O$144,""),2)</f>
        <v/>
      </c>
      <c r="E22" s="8">
        <f>ROUND(SUMIF(Zamowienia!$D$5:$D$144,B22,Zamowienia!$P$5:$P$144),2)</f>
        <v/>
      </c>
      <c r="F22" s="9">
        <f>IF(D22=0,0,E22/D22)</f>
        <v/>
      </c>
    </row>
    <row r="23">
      <c r="B23" s="7" t="inlineStr">
        <is>
          <t>DYW-220</t>
        </is>
      </c>
      <c r="C23" s="7" t="inlineStr">
        <is>
          <t>Dywan Mora 160x230</t>
        </is>
      </c>
      <c r="D23" s="8">
        <f>ROUND(SUMIFS(Zamowienia!$I$5:$I$144,Zamowienia!$D$5:$D$144,B23,Zamowienia!$O$5:$O$144,""),2)</f>
        <v/>
      </c>
      <c r="E23" s="8">
        <f>ROUND(SUMIF(Zamowienia!$D$5:$D$144,B23,Zamowienia!$P$5:$P$144),2)</f>
        <v/>
      </c>
      <c r="F23" s="9">
        <f>IF(D23=0,0,E23/D23)</f>
        <v/>
      </c>
    </row>
    <row r="24">
      <c r="B24" s="7" t="inlineStr">
        <is>
          <t>POL-330</t>
        </is>
      </c>
      <c r="C24" s="7" t="inlineStr">
        <is>
          <t>Polka Elin</t>
        </is>
      </c>
      <c r="D24" s="8">
        <f>ROUND(SUMIFS(Zamowienia!$I$5:$I$144,Zamowienia!$D$5:$D$144,B24,Zamowienia!$O$5:$O$144,""),2)</f>
        <v/>
      </c>
      <c r="E24" s="8">
        <f>ROUND(SUMIF(Zamowienia!$D$5:$D$144,B24,Zamowienia!$P$5:$P$144),2)</f>
        <v/>
      </c>
      <c r="F24" s="9">
        <f>IF(D24=0,0,E24/D24)</f>
        <v/>
      </c>
    </row>
    <row r="25">
      <c r="B25" s="7" t="inlineStr">
        <is>
          <t>ZEG-440</t>
        </is>
      </c>
      <c r="C25" s="7" t="inlineStr">
        <is>
          <t>Zegar Timber</t>
        </is>
      </c>
      <c r="D25" s="8">
        <f>ROUND(SUMIFS(Zamowienia!$I$5:$I$144,Zamowienia!$D$5:$D$144,B25,Zamowienia!$O$5:$O$144,""),2)</f>
        <v/>
      </c>
      <c r="E25" s="8">
        <f>ROUND(SUMIF(Zamowienia!$D$5:$D$144,B25,Zamowienia!$P$5:$P$144),2)</f>
        <v/>
      </c>
      <c r="F25" s="9">
        <f>IF(D25=0,0,E25/D25)</f>
        <v/>
      </c>
    </row>
    <row r="27">
      <c r="B27" s="11" t="inlineStr">
        <is>
          <t>Praca demonstracyjna - dane wygenerowane losowo, nie pochodza od zadnego klienta.</t>
        </is>
      </c>
    </row>
  </sheetData>
  <conditionalFormatting sqref="H7:H15">
    <cfRule type="cellIs" priority="1" operator="lessThan" dxfId="0">
      <formula>0</formula>
    </cfRule>
  </conditionalFormatting>
  <conditionalFormatting sqref="G7:G15">
    <cfRule type="dataBar" priority="2">
      <dataBar>
        <cfvo type="min"/>
        <cfvo type="max"/>
        <color rgb="002563EB"/>
      </dataBar>
    </cfRule>
  </conditionalFormatting>
  <conditionalFormatting sqref="F18:F25">
    <cfRule type="cellIs" priority="3" operator="lessThan" dxfId="0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28"/>
  <sheetViews>
    <sheetView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2">
      <c r="B2" s="1" t="inlineStr">
        <is>
          <t>Dashboard rentownosci - demo modelu danych</t>
        </is>
      </c>
    </row>
    <row r="3">
      <c r="B3" s="2" t="inlineStr">
        <is>
          <t>Praca demonstracyjna. Dane przykladowe, wygenerowane losowo.</t>
        </is>
      </c>
    </row>
    <row r="5">
      <c r="B5" t="inlineStr"/>
    </row>
    <row r="6">
      <c r="B6" s="12" t="inlineStr">
        <is>
          <t>PO CO TEN PLIK</t>
        </is>
      </c>
    </row>
    <row r="7">
      <c r="B7" t="inlineStr">
        <is>
          <t>Pokazuje model danych, na ktorym stoi caly raport - czyli te czesc, w ktorej takie projekty najczesciej sie sypia.</t>
        </is>
      </c>
    </row>
    <row r="8">
      <c r="B8" t="inlineStr">
        <is>
          <t>Wyglad dashboardu jest latwy. Trudne jest polaczenie dziewieciu kanalow tak, zeby liczby sie zgadzaly.</t>
        </is>
      </c>
    </row>
    <row r="9">
      <c r="B9" t="inlineStr"/>
    </row>
    <row r="10">
      <c r="B10" s="12" t="inlineStr">
        <is>
          <t>CZTERY MIEJSCA, GDZIE TO PEKA</t>
        </is>
      </c>
    </row>
    <row r="11">
      <c r="B11" t="inlineStr"/>
    </row>
    <row r="12">
      <c r="B12" t="inlineStr">
        <is>
          <t>1. SKU nie jest jedno. Ten sam produkt ma inny identyfikator na Amazonie, eBayu, Allegro i w PrestaShop.</t>
        </is>
      </c>
    </row>
    <row r="13">
      <c r="B13" t="inlineStr">
        <is>
          <t xml:space="preserve">   Bez tabeli mapujacej (arkusz: Mapowanie SKU) nic sie nie zsumuje - a to decyzja klienta, nie wykonawcy.</t>
        </is>
      </c>
    </row>
    <row r="14">
      <c r="B14" t="inlineStr"/>
    </row>
    <row r="15">
      <c r="B15" t="inlineStr">
        <is>
          <t>2. Trzy waluty: EUR, PLN, CZK. Kurs z dnia zamowienia, z dnia wyplaty czy sredni miesieczny?</t>
        </is>
      </c>
    </row>
    <row r="16">
      <c r="B16" t="inlineStr">
        <is>
          <t xml:space="preserve">   Kazdy wariant daje inna rentownosc. W demo: kurs z dnia zamowienia (arkusz: Kursy).</t>
        </is>
      </c>
    </row>
    <row r="17">
      <c r="B17" t="inlineStr"/>
    </row>
    <row r="18">
      <c r="B18" t="inlineStr">
        <is>
          <t>3. Zwrot przychodzi w innym okresie niz sprzedaz. Jesli przypiszemy go do miesiaca zwrotu,</t>
        </is>
      </c>
    </row>
    <row r="19">
      <c r="B19" t="inlineStr">
        <is>
          <t xml:space="preserve">   miesiac sprzedazy wychodzi zawyzony. W demo zwrot obciaza miesiac PIERWOTNEJ sprzedazy.</t>
        </is>
      </c>
    </row>
    <row r="20">
      <c r="B20" t="inlineStr"/>
    </row>
    <row r="21">
      <c r="B21" t="inlineStr">
        <is>
          <t>4. Koszt kuriera trzeba dopiac do zamowienia po numerze listu przewozowego.</t>
        </is>
      </c>
    </row>
    <row r="22">
      <c r="B22" t="inlineStr">
        <is>
          <t xml:space="preserve">   Jesli tego numeru nie ma w raporcie sprzedazy - nie da sie policzyc rzeczywistej rentownosci.</t>
        </is>
      </c>
    </row>
    <row r="23">
      <c r="B23" t="inlineStr">
        <is>
          <t xml:space="preserve">   To pierwsze pytanie, jakie trzeba zadac przed wycena.</t>
        </is>
      </c>
    </row>
    <row r="24">
      <c r="B24" t="inlineStr"/>
    </row>
    <row r="25">
      <c r="B25" s="12" t="inlineStr">
        <is>
          <t>JAK SIE TO AKTUALIZUJE</t>
        </is>
      </c>
    </row>
    <row r="26">
      <c r="B26" t="inlineStr">
        <is>
          <t>Docelowo: Power Query wciaga surowe raporty z folderu, model przelicza sie jednym klikniecem</t>
        </is>
      </c>
    </row>
    <row r="27">
      <c r="B27" t="inlineStr">
        <is>
          <t>(Dane &gt; Odswiez wszystko). Bez przebudowywania raportu i bez recznego wklejania.</t>
        </is>
      </c>
    </row>
    <row r="28">
      <c r="B28" t="inlineStr">
        <is>
          <t>W tym demo dane sa wpisane wprost, zeby plik otwieral sie wszedzie bez konfiguracji.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18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Jeden produkt - piec roznych identyfikatorow</t>
        </is>
      </c>
    </row>
    <row r="3" ht="30" customHeight="1">
      <c r="A3" s="6" t="inlineStr">
        <is>
          <t>SKU wlasne</t>
        </is>
      </c>
      <c r="B3" s="6" t="inlineStr">
        <is>
          <t>Nazwa produktu</t>
        </is>
      </c>
      <c r="C3" s="6" t="inlineStr">
        <is>
          <t>Amazon ASIN</t>
        </is>
      </c>
      <c r="D3" s="6" t="inlineStr">
        <is>
          <t>eBay ID</t>
        </is>
      </c>
      <c r="E3" s="6" t="inlineStr">
        <is>
          <t>Allegro ID</t>
        </is>
      </c>
      <c r="F3" s="6" t="inlineStr">
        <is>
          <t>PrestaShop ref</t>
        </is>
      </c>
    </row>
    <row r="4">
      <c r="A4" s="7" t="inlineStr">
        <is>
          <t>LMP-001</t>
        </is>
      </c>
      <c r="B4" s="7" t="inlineStr">
        <is>
          <t>Lampa biurkowa Nord</t>
        </is>
      </c>
      <c r="C4" s="7" t="inlineStr">
        <is>
          <t>B095822412</t>
        </is>
      </c>
      <c r="D4" s="7" t="inlineStr">
        <is>
          <t>126247967103</t>
        </is>
      </c>
      <c r="E4" s="7" t="inlineStr">
        <is>
          <t>8479902459</t>
        </is>
      </c>
      <c r="F4" s="7" t="inlineStr">
        <is>
          <t>PS-001</t>
        </is>
      </c>
    </row>
    <row r="5">
      <c r="A5" s="7" t="inlineStr">
        <is>
          <t>LMP-002</t>
        </is>
      </c>
      <c r="B5" s="7" t="inlineStr">
        <is>
          <t>Lampa stojaca Fjord</t>
        </is>
      </c>
      <c r="C5" s="7" t="inlineStr">
        <is>
          <t>B042868828</t>
        </is>
      </c>
      <c r="D5" s="7" t="inlineStr">
        <is>
          <t>251282538206</t>
        </is>
      </c>
      <c r="E5" s="7" t="inlineStr">
        <is>
          <t>4163119785</t>
        </is>
      </c>
      <c r="F5" s="7" t="inlineStr">
        <is>
          <t>PS-002</t>
        </is>
      </c>
    </row>
    <row r="6">
      <c r="A6" s="7" t="inlineStr">
        <is>
          <t>KRZ-010</t>
        </is>
      </c>
      <c r="B6" s="7" t="inlineStr">
        <is>
          <t>Krzeslo Aster</t>
        </is>
      </c>
      <c r="C6" s="7" t="inlineStr">
        <is>
          <t>B083197857</t>
        </is>
      </c>
      <c r="D6" s="7" t="inlineStr">
        <is>
          <t>748913461122</t>
        </is>
      </c>
      <c r="E6" s="7" t="inlineStr">
        <is>
          <t>2812140441</t>
        </is>
      </c>
      <c r="F6" s="7" t="inlineStr">
        <is>
          <t>PS-010</t>
        </is>
      </c>
    </row>
    <row r="7">
      <c r="A7" s="7" t="inlineStr">
        <is>
          <t>KRZ-011</t>
        </is>
      </c>
      <c r="B7" s="7" t="inlineStr">
        <is>
          <t>Krzeslo Aster Plus</t>
        </is>
      </c>
      <c r="C7" s="7" t="inlineStr">
        <is>
          <t>B013999315</t>
        </is>
      </c>
      <c r="D7" s="7" t="inlineStr">
        <is>
          <t>336625619290</t>
        </is>
      </c>
      <c r="E7" s="7" t="inlineStr">
        <is>
          <t>3585650756</t>
        </is>
      </c>
      <c r="F7" s="7" t="inlineStr">
        <is>
          <t>PS-011</t>
        </is>
      </c>
    </row>
    <row r="8">
      <c r="A8" s="7" t="inlineStr">
        <is>
          <t>STO-100</t>
        </is>
      </c>
      <c r="B8" s="7" t="inlineStr">
        <is>
          <t>Stolik Vika</t>
        </is>
      </c>
      <c r="C8" s="7" t="inlineStr">
        <is>
          <t>B085329037</t>
        </is>
      </c>
      <c r="D8" s="7" t="inlineStr">
        <is>
          <t>886833016361</t>
        </is>
      </c>
      <c r="E8" s="7" t="inlineStr">
        <is>
          <t>7635473142</t>
        </is>
      </c>
      <c r="F8" s="7" t="inlineStr">
        <is>
          <t>PS-100</t>
        </is>
      </c>
    </row>
    <row r="9">
      <c r="A9" s="7" t="inlineStr">
        <is>
          <t>DYW-220</t>
        </is>
      </c>
      <c r="B9" s="7" t="inlineStr">
        <is>
          <t>Dywan Mora 160x230</t>
        </is>
      </c>
      <c r="C9" s="7" t="inlineStr">
        <is>
          <t>B039587039</t>
        </is>
      </c>
      <c r="D9" s="7" t="inlineStr">
        <is>
          <t>746174432554</t>
        </is>
      </c>
      <c r="E9" s="7" t="inlineStr">
        <is>
          <t>4733616459</t>
        </is>
      </c>
      <c r="F9" s="7" t="inlineStr">
        <is>
          <t>PS-220</t>
        </is>
      </c>
    </row>
    <row r="10">
      <c r="A10" s="7" t="inlineStr">
        <is>
          <t>POL-330</t>
        </is>
      </c>
      <c r="B10" s="7" t="inlineStr">
        <is>
          <t>Polka Elin</t>
        </is>
      </c>
      <c r="C10" s="7" t="inlineStr">
        <is>
          <t>B031429110</t>
        </is>
      </c>
      <c r="D10" s="7" t="inlineStr">
        <is>
          <t>566854953850</t>
        </is>
      </c>
      <c r="E10" s="7" t="inlineStr">
        <is>
          <t>6756332150</t>
        </is>
      </c>
      <c r="F10" s="7" t="inlineStr">
        <is>
          <t>PS-330</t>
        </is>
      </c>
    </row>
    <row r="11">
      <c r="A11" s="7" t="inlineStr">
        <is>
          <t>ZEG-440</t>
        </is>
      </c>
      <c r="B11" s="7" t="inlineStr">
        <is>
          <t>Zegar Timber</t>
        </is>
      </c>
      <c r="C11" s="7" t="inlineStr">
        <is>
          <t>B030868105</t>
        </is>
      </c>
      <c r="D11" s="7" t="inlineStr">
        <is>
          <t>472646369774</t>
        </is>
      </c>
      <c r="E11" s="7" t="inlineStr">
        <is>
          <t>1438989805</t>
        </is>
      </c>
      <c r="F11" s="7" t="inlineStr">
        <is>
          <t>PS-440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3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</cols>
  <sheetData>
    <row r="1">
      <c r="A1" s="1" t="inlineStr">
        <is>
          <t>Kursy walut - z dnia zamowienia</t>
        </is>
      </c>
    </row>
    <row r="3" ht="30" customHeight="1">
      <c r="A3" s="6" t="inlineStr">
        <is>
          <t>Data</t>
        </is>
      </c>
      <c r="B3" s="6" t="inlineStr">
        <is>
          <t>EUR/PLN</t>
        </is>
      </c>
      <c r="C3" s="6" t="inlineStr">
        <is>
          <t>CZK/PLN</t>
        </is>
      </c>
    </row>
    <row r="4">
      <c r="A4" t="inlineStr">
        <is>
          <t>2026-06-01</t>
        </is>
      </c>
      <c r="B4" t="n">
        <v>4.228</v>
      </c>
      <c r="C4" t="n">
        <v>0.1712</v>
      </c>
    </row>
    <row r="5">
      <c r="A5" t="inlineStr">
        <is>
          <t>2026-06-02</t>
        </is>
      </c>
      <c r="B5" t="n">
        <v>4.2244</v>
      </c>
      <c r="C5" t="n">
        <v>0.1706</v>
      </c>
    </row>
    <row r="6">
      <c r="A6" t="inlineStr">
        <is>
          <t>2026-06-03</t>
        </is>
      </c>
      <c r="B6" t="n">
        <v>4.1943</v>
      </c>
      <c r="C6" t="n">
        <v>0.1718</v>
      </c>
    </row>
    <row r="7">
      <c r="A7" t="inlineStr">
        <is>
          <t>2026-06-04</t>
        </is>
      </c>
      <c r="B7" t="n">
        <v>4.2025</v>
      </c>
      <c r="C7" t="n">
        <v>0.1745</v>
      </c>
    </row>
    <row r="8">
      <c r="A8" t="inlineStr">
        <is>
          <t>2026-06-05</t>
        </is>
      </c>
      <c r="B8" t="n">
        <v>4.1979</v>
      </c>
      <c r="C8" t="n">
        <v>0.1708</v>
      </c>
    </row>
    <row r="9">
      <c r="A9" t="inlineStr">
        <is>
          <t>2026-06-06</t>
        </is>
      </c>
      <c r="B9" t="n">
        <v>4.2529</v>
      </c>
      <c r="C9" t="n">
        <v>0.1743</v>
      </c>
    </row>
    <row r="10">
      <c r="A10" t="inlineStr">
        <is>
          <t>2026-06-07</t>
        </is>
      </c>
      <c r="B10" t="n">
        <v>4.2262</v>
      </c>
      <c r="C10" t="n">
        <v>0.1702</v>
      </c>
    </row>
    <row r="11">
      <c r="A11" t="inlineStr">
        <is>
          <t>2026-06-08</t>
        </is>
      </c>
      <c r="B11" t="n">
        <v>4.197</v>
      </c>
      <c r="C11" t="n">
        <v>0.173</v>
      </c>
    </row>
    <row r="12">
      <c r="A12" t="inlineStr">
        <is>
          <t>2026-06-09</t>
        </is>
      </c>
      <c r="B12" t="n">
        <v>4.2673</v>
      </c>
      <c r="C12" t="n">
        <v>0.1749</v>
      </c>
    </row>
    <row r="13">
      <c r="A13" t="inlineStr">
        <is>
          <t>2026-06-10</t>
        </is>
      </c>
      <c r="B13" t="n">
        <v>4.2755</v>
      </c>
      <c r="C13" t="n">
        <v>0.1742</v>
      </c>
    </row>
    <row r="14">
      <c r="A14" t="inlineStr">
        <is>
          <t>2026-06-11</t>
        </is>
      </c>
      <c r="B14" t="n">
        <v>4.228</v>
      </c>
      <c r="C14" t="n">
        <v>0.1717</v>
      </c>
    </row>
    <row r="15">
      <c r="A15" t="inlineStr">
        <is>
          <t>2026-06-12</t>
        </is>
      </c>
      <c r="B15" t="n">
        <v>4.2734</v>
      </c>
      <c r="C15" t="n">
        <v>0.17</v>
      </c>
    </row>
    <row r="16">
      <c r="A16" t="inlineStr">
        <is>
          <t>2026-06-13</t>
        </is>
      </c>
      <c r="B16" t="n">
        <v>4.2255</v>
      </c>
      <c r="C16" t="n">
        <v>0.173</v>
      </c>
    </row>
    <row r="17">
      <c r="A17" t="inlineStr">
        <is>
          <t>2026-06-14</t>
        </is>
      </c>
      <c r="B17" t="n">
        <v>4.2602</v>
      </c>
      <c r="C17" t="n">
        <v>0.1731</v>
      </c>
    </row>
    <row r="18">
      <c r="A18" t="inlineStr">
        <is>
          <t>2026-06-15</t>
        </is>
      </c>
      <c r="B18" t="n">
        <v>4.1971</v>
      </c>
      <c r="C18" t="n">
        <v>0.1728</v>
      </c>
    </row>
    <row r="19">
      <c r="A19" t="inlineStr">
        <is>
          <t>2026-06-16</t>
        </is>
      </c>
      <c r="B19" t="n">
        <v>4.2434</v>
      </c>
      <c r="C19" t="n">
        <v>0.1705</v>
      </c>
    </row>
    <row r="20">
      <c r="A20" t="inlineStr">
        <is>
          <t>2026-06-17</t>
        </is>
      </c>
      <c r="B20" t="n">
        <v>4.2362</v>
      </c>
      <c r="C20" t="n">
        <v>0.1706</v>
      </c>
    </row>
    <row r="21">
      <c r="A21" t="inlineStr">
        <is>
          <t>2026-06-18</t>
        </is>
      </c>
      <c r="B21" t="n">
        <v>4.2825</v>
      </c>
      <c r="C21" t="n">
        <v>0.1731</v>
      </c>
    </row>
    <row r="22">
      <c r="A22" t="inlineStr">
        <is>
          <t>2026-06-19</t>
        </is>
      </c>
      <c r="B22" t="n">
        <v>4.212</v>
      </c>
      <c r="C22" t="n">
        <v>0.1709</v>
      </c>
    </row>
    <row r="23">
      <c r="A23" t="inlineStr">
        <is>
          <t>2026-06-20</t>
        </is>
      </c>
      <c r="B23" t="n">
        <v>4.2668</v>
      </c>
      <c r="C23" t="n">
        <v>0.1693</v>
      </c>
    </row>
    <row r="24">
      <c r="A24" t="inlineStr">
        <is>
          <t>2026-06-21</t>
        </is>
      </c>
      <c r="B24" t="n">
        <v>4.2722</v>
      </c>
      <c r="C24" t="n">
        <v>0.1738</v>
      </c>
    </row>
    <row r="25">
      <c r="A25" t="inlineStr">
        <is>
          <t>2026-06-22</t>
        </is>
      </c>
      <c r="B25" t="n">
        <v>4.2301</v>
      </c>
      <c r="C25" t="n">
        <v>0.1694</v>
      </c>
    </row>
    <row r="26">
      <c r="A26" t="inlineStr">
        <is>
          <t>2026-06-23</t>
        </is>
      </c>
      <c r="B26" t="n">
        <v>4.2813</v>
      </c>
      <c r="C26" t="n">
        <v>0.1724</v>
      </c>
    </row>
    <row r="27">
      <c r="A27" t="inlineStr">
        <is>
          <t>2026-06-24</t>
        </is>
      </c>
      <c r="B27" t="n">
        <v>4.2618</v>
      </c>
      <c r="C27" t="n">
        <v>0.1703</v>
      </c>
    </row>
    <row r="28">
      <c r="A28" t="inlineStr">
        <is>
          <t>2026-06-25</t>
        </is>
      </c>
      <c r="B28" t="n">
        <v>4.2399</v>
      </c>
      <c r="C28" t="n">
        <v>0.1743</v>
      </c>
    </row>
    <row r="29">
      <c r="A29" t="inlineStr">
        <is>
          <t>2026-06-26</t>
        </is>
      </c>
      <c r="B29" t="n">
        <v>4.2543</v>
      </c>
      <c r="C29" t="n">
        <v>0.1699</v>
      </c>
    </row>
    <row r="30">
      <c r="A30" t="inlineStr">
        <is>
          <t>2026-06-27</t>
        </is>
      </c>
      <c r="B30" t="n">
        <v>4.204</v>
      </c>
      <c r="C30" t="n">
        <v>0.1735</v>
      </c>
    </row>
    <row r="31">
      <c r="A31" t="inlineStr">
        <is>
          <t>2026-06-28</t>
        </is>
      </c>
      <c r="B31" t="n">
        <v>4.2439</v>
      </c>
      <c r="C31" t="n">
        <v>0.1735</v>
      </c>
    </row>
    <row r="32">
      <c r="A32" t="inlineStr">
        <is>
          <t>2026-06-29</t>
        </is>
      </c>
      <c r="B32" t="n">
        <v>4.2328</v>
      </c>
      <c r="C32" t="n">
        <v>0.1725</v>
      </c>
    </row>
    <row r="33">
      <c r="A33" t="inlineStr">
        <is>
          <t>2026-06-30</t>
        </is>
      </c>
      <c r="B33" t="n">
        <v>4.2262</v>
      </c>
      <c r="C33" t="n">
        <v>0.175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1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1" customWidth="1" min="1" max="1"/>
    <col width="12" customWidth="1" min="2" max="2"/>
    <col width="8" customWidth="1" min="3" max="3"/>
    <col width="12" customWidth="1" min="4" max="4"/>
    <col width="6" customWidth="1" min="5" max="5"/>
    <col width="15" customWidth="1" min="6" max="6"/>
    <col width="8" customWidth="1" min="7" max="7"/>
    <col width="9" customWidth="1" min="8" max="8"/>
    <col width="13" customWidth="1" min="9" max="9"/>
    <col width="16" customWidth="1" min="10" max="10"/>
    <col width="13" customWidth="1" min="11" max="11"/>
    <col width="13" customWidth="1" min="12" max="12"/>
    <col width="14" customWidth="1" min="13" max="13"/>
    <col width="12" customWidth="1" min="14" max="14"/>
    <col width="8" customWidth="1" min="15" max="15"/>
    <col width="13" customWidth="1" min="16" max="16"/>
    <col width="10" customWidth="1" min="17" max="17"/>
  </cols>
  <sheetData>
    <row r="1">
      <c r="A1" s="1" t="inlineStr">
        <is>
          <t>Zamowienia - warstwa transakcyjna</t>
        </is>
      </c>
    </row>
    <row r="2">
      <c r="A2" s="2" t="inlineStr">
        <is>
          <t>Kolumny H-Q liczone formulami. Zwrot obciaza miesiac pierwotnej sprzedazy.</t>
        </is>
      </c>
    </row>
    <row r="4" ht="30" customHeight="1">
      <c r="A4" s="6" t="inlineStr">
        <is>
          <t>Data</t>
        </is>
      </c>
      <c r="B4" s="6" t="inlineStr">
        <is>
          <t>Kanal</t>
        </is>
      </c>
      <c r="C4" s="6" t="inlineStr">
        <is>
          <t>Kraj</t>
        </is>
      </c>
      <c r="D4" s="6" t="inlineStr">
        <is>
          <t>SKU wlasne</t>
        </is>
      </c>
      <c r="E4" s="6" t="inlineStr">
        <is>
          <t>Szt.</t>
        </is>
      </c>
      <c r="F4" s="6" t="inlineStr">
        <is>
          <t>Przychod (waluta)</t>
        </is>
      </c>
      <c r="G4" s="6" t="inlineStr">
        <is>
          <t>Waluta</t>
        </is>
      </c>
      <c r="H4" s="6" t="inlineStr">
        <is>
          <t>Kurs</t>
        </is>
      </c>
      <c r="I4" s="6" t="inlineStr">
        <is>
          <t>Przychod PLN</t>
        </is>
      </c>
      <c r="J4" s="6" t="inlineStr">
        <is>
          <t>Koszt towaru PLN</t>
        </is>
      </c>
      <c r="K4" s="6" t="inlineStr">
        <is>
          <t>Prowizja PLN</t>
        </is>
      </c>
      <c r="L4" s="6" t="inlineStr">
        <is>
          <t>Reklama PLN</t>
        </is>
      </c>
      <c r="M4" s="6" t="inlineStr">
        <is>
          <t>Nr listu</t>
        </is>
      </c>
      <c r="N4" s="6" t="inlineStr">
        <is>
          <t>Kurier PLN</t>
        </is>
      </c>
      <c r="O4" s="6" t="inlineStr">
        <is>
          <t>Zwrot</t>
        </is>
      </c>
      <c r="P4" s="6" t="inlineStr">
        <is>
          <t>Marza PLN</t>
        </is>
      </c>
      <c r="Q4" s="6" t="inlineStr">
        <is>
          <t>Marza %</t>
        </is>
      </c>
    </row>
    <row r="5">
      <c r="A5" t="inlineStr">
        <is>
          <t>2026-06-28</t>
        </is>
      </c>
      <c r="B5" t="inlineStr">
        <is>
          <t>Amazon</t>
        </is>
      </c>
      <c r="C5" t="inlineStr">
        <is>
          <t>IT</t>
        </is>
      </c>
      <c r="D5" t="inlineStr">
        <is>
          <t>ZEG-440</t>
        </is>
      </c>
      <c r="E5" t="n">
        <v>1</v>
      </c>
      <c r="F5" t="n">
        <v>278.7</v>
      </c>
      <c r="G5" t="inlineStr">
        <is>
          <t>EUR</t>
        </is>
      </c>
      <c r="H5" s="13">
        <f>IF(G5="PLN",1,IF(G5="EUR",VLOOKUP(A5,Kursy!$A$4:$C$33,2,FALSE),VLOOKUP(A5,Kursy!$A$4:$C$33,3,FALSE)))</f>
        <v/>
      </c>
      <c r="I5" s="14">
        <f>ROUND(F5*H5,2)</f>
        <v/>
      </c>
      <c r="J5" s="14">
        <f>ROUND(I5*0.5604,2)</f>
        <v/>
      </c>
      <c r="K5" s="14">
        <f>ROUND(I5*0.15,2)</f>
        <v/>
      </c>
      <c r="L5" s="14" t="n">
        <v>22.18</v>
      </c>
      <c r="M5" t="inlineStr">
        <is>
          <t>DPD3561557300</t>
        </is>
      </c>
      <c r="N5" s="14" t="n">
        <v>23.54</v>
      </c>
      <c r="O5" t="inlineStr"/>
      <c r="P5" s="14">
        <f>IF(O5="TAK",-(K5+L5+N5),I5-J5-K5-L5-N5)</f>
        <v/>
      </c>
      <c r="Q5" s="15">
        <f>IF(I5=0,0,P5/I5)</f>
        <v/>
      </c>
    </row>
    <row r="6">
      <c r="A6" t="inlineStr">
        <is>
          <t>2026-06-04</t>
        </is>
      </c>
      <c r="B6" t="inlineStr">
        <is>
          <t>Allegro</t>
        </is>
      </c>
      <c r="C6" t="inlineStr">
        <is>
          <t>CZ</t>
        </is>
      </c>
      <c r="D6" t="inlineStr">
        <is>
          <t>STO-100</t>
        </is>
      </c>
      <c r="E6" t="n">
        <v>1</v>
      </c>
      <c r="F6" t="n">
        <v>259.75</v>
      </c>
      <c r="G6" t="inlineStr">
        <is>
          <t>CZK</t>
        </is>
      </c>
      <c r="H6" s="13">
        <f>IF(G6="PLN",1,IF(G6="EUR",VLOOKUP(A6,Kursy!$A$4:$C$33,2,FALSE),VLOOKUP(A6,Kursy!$A$4:$C$33,3,FALSE)))</f>
        <v/>
      </c>
      <c r="I6" s="14">
        <f>ROUND(F6*H6,2)</f>
        <v/>
      </c>
      <c r="J6" s="14">
        <f>ROUND(I6*0.5459,2)</f>
        <v/>
      </c>
      <c r="K6" s="14">
        <f>ROUND(I6*0.09,2)</f>
        <v/>
      </c>
      <c r="L6" s="14" t="n">
        <v>7.47</v>
      </c>
      <c r="M6" t="inlineStr">
        <is>
          <t>DPD5774080233</t>
        </is>
      </c>
      <c r="N6" s="14" t="n">
        <v>25.04</v>
      </c>
      <c r="O6" t="inlineStr"/>
      <c r="P6" s="14">
        <f>IF(O6="TAK",-(K6+L6+N6),I6-J6-K6-L6-N6)</f>
        <v/>
      </c>
      <c r="Q6" s="15">
        <f>IF(I6=0,0,P6/I6)</f>
        <v/>
      </c>
    </row>
    <row r="7">
      <c r="A7" t="inlineStr">
        <is>
          <t>2026-06-25</t>
        </is>
      </c>
      <c r="B7" t="inlineStr">
        <is>
          <t>Allegro</t>
        </is>
      </c>
      <c r="C7" t="inlineStr">
        <is>
          <t>CZ</t>
        </is>
      </c>
      <c r="D7" t="inlineStr">
        <is>
          <t>LMP-001</t>
        </is>
      </c>
      <c r="E7" t="n">
        <v>3</v>
      </c>
      <c r="F7" t="n">
        <v>998.8200000000001</v>
      </c>
      <c r="G7" t="inlineStr">
        <is>
          <t>CZK</t>
        </is>
      </c>
      <c r="H7" s="13">
        <f>IF(G7="PLN",1,IF(G7="EUR",VLOOKUP(A7,Kursy!$A$4:$C$33,2,FALSE),VLOOKUP(A7,Kursy!$A$4:$C$33,3,FALSE)))</f>
        <v/>
      </c>
      <c r="I7" s="14">
        <f>ROUND(F7*H7,2)</f>
        <v/>
      </c>
      <c r="J7" s="14">
        <f>ROUND(I7*0.606,2)</f>
        <v/>
      </c>
      <c r="K7" s="14">
        <f>ROUND(I7*0.09,2)</f>
        <v/>
      </c>
      <c r="L7" s="14" t="n">
        <v>24.37</v>
      </c>
      <c r="M7" t="inlineStr">
        <is>
          <t>DPD1854316681</t>
        </is>
      </c>
      <c r="N7" s="14" t="n">
        <v>23.22</v>
      </c>
      <c r="O7" t="inlineStr"/>
      <c r="P7" s="14">
        <f>IF(O7="TAK",-(K7+L7+N7),I7-J7-K7-L7-N7)</f>
        <v/>
      </c>
      <c r="Q7" s="15">
        <f>IF(I7=0,0,P7/I7)</f>
        <v/>
      </c>
    </row>
    <row r="8">
      <c r="A8" t="inlineStr">
        <is>
          <t>2026-06-04</t>
        </is>
      </c>
      <c r="B8" t="inlineStr">
        <is>
          <t>Amazon</t>
        </is>
      </c>
      <c r="C8" t="inlineStr">
        <is>
          <t>IT</t>
        </is>
      </c>
      <c r="D8" t="inlineStr">
        <is>
          <t>LMP-001</t>
        </is>
      </c>
      <c r="E8" t="n">
        <v>3</v>
      </c>
      <c r="F8" t="n">
        <v>634.92</v>
      </c>
      <c r="G8" t="inlineStr">
        <is>
          <t>EUR</t>
        </is>
      </c>
      <c r="H8" s="13">
        <f>IF(G8="PLN",1,IF(G8="EUR",VLOOKUP(A8,Kursy!$A$4:$C$33,2,FALSE),VLOOKUP(A8,Kursy!$A$4:$C$33,3,FALSE)))</f>
        <v/>
      </c>
      <c r="I8" s="14">
        <f>ROUND(F8*H8,2)</f>
        <v/>
      </c>
      <c r="J8" s="14">
        <f>ROUND(I8*0.6006,2)</f>
        <v/>
      </c>
      <c r="K8" s="14">
        <f>ROUND(I8*0.15,2)</f>
        <v/>
      </c>
      <c r="L8" s="14" t="n">
        <v>23.29</v>
      </c>
      <c r="M8" t="inlineStr">
        <is>
          <t>DPD2028439863</t>
        </is>
      </c>
      <c r="N8" s="14" t="n">
        <v>19.23</v>
      </c>
      <c r="O8" t="inlineStr"/>
      <c r="P8" s="14">
        <f>IF(O8="TAK",-(K8+L8+N8),I8-J8-K8-L8-N8)</f>
        <v/>
      </c>
      <c r="Q8" s="15">
        <f>IF(I8=0,0,P8/I8)</f>
        <v/>
      </c>
    </row>
    <row r="9">
      <c r="A9" t="inlineStr">
        <is>
          <t>2026-06-25</t>
        </is>
      </c>
      <c r="B9" t="inlineStr">
        <is>
          <t>Amazon</t>
        </is>
      </c>
      <c r="C9" t="inlineStr">
        <is>
          <t>FR</t>
        </is>
      </c>
      <c r="D9" t="inlineStr">
        <is>
          <t>LMP-002</t>
        </is>
      </c>
      <c r="E9" t="n">
        <v>4</v>
      </c>
      <c r="F9" t="n">
        <v>1175.28</v>
      </c>
      <c r="G9" t="inlineStr">
        <is>
          <t>EUR</t>
        </is>
      </c>
      <c r="H9" s="13">
        <f>IF(G9="PLN",1,IF(G9="EUR",VLOOKUP(A9,Kursy!$A$4:$C$33,2,FALSE),VLOOKUP(A9,Kursy!$A$4:$C$33,3,FALSE)))</f>
        <v/>
      </c>
      <c r="I9" s="14">
        <f>ROUND(F9*H9,2)</f>
        <v/>
      </c>
      <c r="J9" s="14">
        <f>ROUND(I9*0.4801,2)</f>
        <v/>
      </c>
      <c r="K9" s="14">
        <f>ROUND(I9*0.15,2)</f>
        <v/>
      </c>
      <c r="L9" s="14" t="n">
        <v>18.47</v>
      </c>
      <c r="M9" t="inlineStr">
        <is>
          <t>DHL6633778586</t>
        </is>
      </c>
      <c r="N9" s="14" t="n">
        <v>41.85</v>
      </c>
      <c r="O9" t="inlineStr"/>
      <c r="P9" s="14">
        <f>IF(O9="TAK",-(K9+L9+N9),I9-J9-K9-L9-N9)</f>
        <v/>
      </c>
      <c r="Q9" s="15">
        <f>IF(I9=0,0,P9/I9)</f>
        <v/>
      </c>
    </row>
    <row r="10">
      <c r="A10" t="inlineStr">
        <is>
          <t>2026-06-08</t>
        </is>
      </c>
      <c r="B10" t="inlineStr">
        <is>
          <t>eBay</t>
        </is>
      </c>
      <c r="C10" t="inlineStr">
        <is>
          <t>FR</t>
        </is>
      </c>
      <c r="D10" t="inlineStr">
        <is>
          <t>ZEG-440</t>
        </is>
      </c>
      <c r="E10" t="n">
        <v>4</v>
      </c>
      <c r="F10" t="n">
        <v>477.48</v>
      </c>
      <c r="G10" t="inlineStr">
        <is>
          <t>EUR</t>
        </is>
      </c>
      <c r="H10" s="13">
        <f>IF(G10="PLN",1,IF(G10="EUR",VLOOKUP(A10,Kursy!$A$4:$C$33,2,FALSE),VLOOKUP(A10,Kursy!$A$4:$C$33,3,FALSE)))</f>
        <v/>
      </c>
      <c r="I10" s="14">
        <f>ROUND(F10*H10,2)</f>
        <v/>
      </c>
      <c r="J10" s="14">
        <f>ROUND(I10*0.4634,2)</f>
        <v/>
      </c>
      <c r="K10" s="14">
        <f>ROUND(I10*0.11,2)</f>
        <v/>
      </c>
      <c r="L10" s="14" t="n">
        <v>15.51</v>
      </c>
      <c r="M10" t="inlineStr">
        <is>
          <t>DHL1030884438</t>
        </is>
      </c>
      <c r="N10" s="14" t="n">
        <v>33.24</v>
      </c>
      <c r="O10" t="inlineStr">
        <is>
          <t>TAK</t>
        </is>
      </c>
      <c r="P10" s="14">
        <f>IF(O10="TAK",-(K10+L10+N10),I10-J10-K10-L10-N10)</f>
        <v/>
      </c>
      <c r="Q10" s="15">
        <f>IF(I10=0,0,P10/I10)</f>
        <v/>
      </c>
    </row>
    <row r="11">
      <c r="A11" t="inlineStr">
        <is>
          <t>2026-06-28</t>
        </is>
      </c>
      <c r="B11" t="inlineStr">
        <is>
          <t>Amazon</t>
        </is>
      </c>
      <c r="C11" t="inlineStr">
        <is>
          <t>DE</t>
        </is>
      </c>
      <c r="D11" t="inlineStr">
        <is>
          <t>KRZ-011</t>
        </is>
      </c>
      <c r="E11" t="n">
        <v>1</v>
      </c>
      <c r="F11" t="n">
        <v>316.26</v>
      </c>
      <c r="G11" t="inlineStr">
        <is>
          <t>EUR</t>
        </is>
      </c>
      <c r="H11" s="13">
        <f>IF(G11="PLN",1,IF(G11="EUR",VLOOKUP(A11,Kursy!$A$4:$C$33,2,FALSE),VLOOKUP(A11,Kursy!$A$4:$C$33,3,FALSE)))</f>
        <v/>
      </c>
      <c r="I11" s="14">
        <f>ROUND(F11*H11,2)</f>
        <v/>
      </c>
      <c r="J11" s="14">
        <f>ROUND(I11*0.5423,2)</f>
        <v/>
      </c>
      <c r="K11" s="14">
        <f>ROUND(I11*0.15,2)</f>
        <v/>
      </c>
      <c r="L11" s="14" t="n">
        <v>7.8</v>
      </c>
      <c r="M11" t="inlineStr">
        <is>
          <t>DPD3030106617</t>
        </is>
      </c>
      <c r="N11" s="14" t="n">
        <v>35.54</v>
      </c>
      <c r="O11" t="inlineStr"/>
      <c r="P11" s="14">
        <f>IF(O11="TAK",-(K11+L11+N11),I11-J11-K11-L11-N11)</f>
        <v/>
      </c>
      <c r="Q11" s="15">
        <f>IF(I11=0,0,P11/I11)</f>
        <v/>
      </c>
    </row>
    <row r="12">
      <c r="A12" t="inlineStr">
        <is>
          <t>2026-06-14</t>
        </is>
      </c>
      <c r="B12" t="inlineStr">
        <is>
          <t>Allegro</t>
        </is>
      </c>
      <c r="C12" t="inlineStr">
        <is>
          <t>PL</t>
        </is>
      </c>
      <c r="D12" t="inlineStr">
        <is>
          <t>KRZ-011</t>
        </is>
      </c>
      <c r="E12" t="n">
        <v>1</v>
      </c>
      <c r="F12" t="n">
        <v>113.33</v>
      </c>
      <c r="G12" t="inlineStr">
        <is>
          <t>PLN</t>
        </is>
      </c>
      <c r="H12" s="13">
        <f>IF(G12="PLN",1,IF(G12="EUR",VLOOKUP(A12,Kursy!$A$4:$C$33,2,FALSE),VLOOKUP(A12,Kursy!$A$4:$C$33,3,FALSE)))</f>
        <v/>
      </c>
      <c r="I12" s="14">
        <f>ROUND(F12*H12,2)</f>
        <v/>
      </c>
      <c r="J12" s="14">
        <f>ROUND(I12*0.5258,2)</f>
        <v/>
      </c>
      <c r="K12" s="14">
        <f>ROUND(I12*0.09,2)</f>
        <v/>
      </c>
      <c r="L12" s="14" t="n">
        <v>24.19</v>
      </c>
      <c r="M12" t="inlineStr">
        <is>
          <t>DHL1422701550</t>
        </is>
      </c>
      <c r="N12" s="14" t="n">
        <v>24.08</v>
      </c>
      <c r="O12" t="inlineStr"/>
      <c r="P12" s="14">
        <f>IF(O12="TAK",-(K12+L12+N12),I12-J12-K12-L12-N12)</f>
        <v/>
      </c>
      <c r="Q12" s="15">
        <f>IF(I12=0,0,P12/I12)</f>
        <v/>
      </c>
    </row>
    <row r="13">
      <c r="A13" t="inlineStr">
        <is>
          <t>2026-06-18</t>
        </is>
      </c>
      <c r="B13" t="inlineStr">
        <is>
          <t>eBay</t>
        </is>
      </c>
      <c r="C13" t="inlineStr">
        <is>
          <t>FR</t>
        </is>
      </c>
      <c r="D13" t="inlineStr">
        <is>
          <t>LMP-002</t>
        </is>
      </c>
      <c r="E13" t="n">
        <v>2</v>
      </c>
      <c r="F13" t="n">
        <v>274.18</v>
      </c>
      <c r="G13" t="inlineStr">
        <is>
          <t>EUR</t>
        </is>
      </c>
      <c r="H13" s="13">
        <f>IF(G13="PLN",1,IF(G13="EUR",VLOOKUP(A13,Kursy!$A$4:$C$33,2,FALSE),VLOOKUP(A13,Kursy!$A$4:$C$33,3,FALSE)))</f>
        <v/>
      </c>
      <c r="I13" s="14">
        <f>ROUND(F13*H13,2)</f>
        <v/>
      </c>
      <c r="J13" s="14">
        <f>ROUND(I13*0.5275,2)</f>
        <v/>
      </c>
      <c r="K13" s="14">
        <f>ROUND(I13*0.11,2)</f>
        <v/>
      </c>
      <c r="L13" s="14" t="n">
        <v>7.8</v>
      </c>
      <c r="M13" t="inlineStr">
        <is>
          <t>DHL5618742930</t>
        </is>
      </c>
      <c r="N13" s="14" t="n">
        <v>36.24</v>
      </c>
      <c r="O13" t="inlineStr"/>
      <c r="P13" s="14">
        <f>IF(O13="TAK",-(K13+L13+N13),I13-J13-K13-L13-N13)</f>
        <v/>
      </c>
      <c r="Q13" s="15">
        <f>IF(I13=0,0,P13/I13)</f>
        <v/>
      </c>
    </row>
    <row r="14">
      <c r="A14" t="inlineStr">
        <is>
          <t>2026-06-18</t>
        </is>
      </c>
      <c r="B14" t="inlineStr">
        <is>
          <t>PrestaShop</t>
        </is>
      </c>
      <c r="C14" t="inlineStr">
        <is>
          <t>PL</t>
        </is>
      </c>
      <c r="D14" t="inlineStr">
        <is>
          <t>LMP-002</t>
        </is>
      </c>
      <c r="E14" t="n">
        <v>1</v>
      </c>
      <c r="F14" t="n">
        <v>252.69</v>
      </c>
      <c r="G14" t="inlineStr">
        <is>
          <t>PLN</t>
        </is>
      </c>
      <c r="H14" s="13">
        <f>IF(G14="PLN",1,IF(G14="EUR",VLOOKUP(A14,Kursy!$A$4:$C$33,2,FALSE),VLOOKUP(A14,Kursy!$A$4:$C$33,3,FALSE)))</f>
        <v/>
      </c>
      <c r="I14" s="14">
        <f>ROUND(F14*H14,2)</f>
        <v/>
      </c>
      <c r="J14" s="14">
        <f>ROUND(I14*0.615,2)</f>
        <v/>
      </c>
      <c r="K14" s="14">
        <f>ROUND(I14*0.0,2)</f>
        <v/>
      </c>
      <c r="L14" s="14" t="n">
        <v>25.94</v>
      </c>
      <c r="M14" t="inlineStr">
        <is>
          <t>DHL6009268066</t>
        </is>
      </c>
      <c r="N14" s="14" t="n">
        <v>26.57</v>
      </c>
      <c r="O14" t="inlineStr"/>
      <c r="P14" s="14">
        <f>IF(O14="TAK",-(K14+L14+N14),I14-J14-K14-L14-N14)</f>
        <v/>
      </c>
      <c r="Q14" s="15">
        <f>IF(I14=0,0,P14/I14)</f>
        <v/>
      </c>
    </row>
    <row r="15">
      <c r="A15" t="inlineStr">
        <is>
          <t>2026-06-01</t>
        </is>
      </c>
      <c r="B15" t="inlineStr">
        <is>
          <t>Amazon</t>
        </is>
      </c>
      <c r="C15" t="inlineStr">
        <is>
          <t>ES</t>
        </is>
      </c>
      <c r="D15" t="inlineStr">
        <is>
          <t>POL-330</t>
        </is>
      </c>
      <c r="E15" t="n">
        <v>1</v>
      </c>
      <c r="F15" t="n">
        <v>130.32</v>
      </c>
      <c r="G15" t="inlineStr">
        <is>
          <t>EUR</t>
        </is>
      </c>
      <c r="H15" s="13">
        <f>IF(G15="PLN",1,IF(G15="EUR",VLOOKUP(A15,Kursy!$A$4:$C$33,2,FALSE),VLOOKUP(A15,Kursy!$A$4:$C$33,3,FALSE)))</f>
        <v/>
      </c>
      <c r="I15" s="14">
        <f>ROUND(F15*H15,2)</f>
        <v/>
      </c>
      <c r="J15" s="14">
        <f>ROUND(I15*0.5024,2)</f>
        <v/>
      </c>
      <c r="K15" s="14">
        <f>ROUND(I15*0.15,2)</f>
        <v/>
      </c>
      <c r="L15" s="14" t="n">
        <v>21.95</v>
      </c>
      <c r="M15" t="inlineStr">
        <is>
          <t>DPD6520103410</t>
        </is>
      </c>
      <c r="N15" s="14" t="n">
        <v>32.9</v>
      </c>
      <c r="O15" t="inlineStr"/>
      <c r="P15" s="14">
        <f>IF(O15="TAK",-(K15+L15+N15),I15-J15-K15-L15-N15)</f>
        <v/>
      </c>
      <c r="Q15" s="15">
        <f>IF(I15=0,0,P15/I15)</f>
        <v/>
      </c>
    </row>
    <row r="16">
      <c r="A16" t="inlineStr">
        <is>
          <t>2026-06-07</t>
        </is>
      </c>
      <c r="B16" t="inlineStr">
        <is>
          <t>PrestaShop</t>
        </is>
      </c>
      <c r="C16" t="inlineStr">
        <is>
          <t>PL</t>
        </is>
      </c>
      <c r="D16" t="inlineStr">
        <is>
          <t>ZEG-440</t>
        </is>
      </c>
      <c r="E16" t="n">
        <v>2</v>
      </c>
      <c r="F16" t="n">
        <v>273.32</v>
      </c>
      <c r="G16" t="inlineStr">
        <is>
          <t>PLN</t>
        </is>
      </c>
      <c r="H16" s="13">
        <f>IF(G16="PLN",1,IF(G16="EUR",VLOOKUP(A16,Kursy!$A$4:$C$33,2,FALSE),VLOOKUP(A16,Kursy!$A$4:$C$33,3,FALSE)))</f>
        <v/>
      </c>
      <c r="I16" s="14">
        <f>ROUND(F16*H16,2)</f>
        <v/>
      </c>
      <c r="J16" s="14">
        <f>ROUND(I16*0.5527,2)</f>
        <v/>
      </c>
      <c r="K16" s="14">
        <f>ROUND(I16*0.0,2)</f>
        <v/>
      </c>
      <c r="L16" s="14" t="n">
        <v>15.18</v>
      </c>
      <c r="M16" t="inlineStr">
        <is>
          <t>DPD1245522987</t>
        </is>
      </c>
      <c r="N16" s="14" t="n">
        <v>29.53</v>
      </c>
      <c r="O16" t="inlineStr"/>
      <c r="P16" s="14">
        <f>IF(O16="TAK",-(K16+L16+N16),I16-J16-K16-L16-N16)</f>
        <v/>
      </c>
      <c r="Q16" s="15">
        <f>IF(I16=0,0,P16/I16)</f>
        <v/>
      </c>
    </row>
    <row r="17">
      <c r="A17" t="inlineStr">
        <is>
          <t>2026-06-03</t>
        </is>
      </c>
      <c r="B17" t="inlineStr">
        <is>
          <t>PrestaShop</t>
        </is>
      </c>
      <c r="C17" t="inlineStr">
        <is>
          <t>PL</t>
        </is>
      </c>
      <c r="D17" t="inlineStr">
        <is>
          <t>KRZ-010</t>
        </is>
      </c>
      <c r="E17" t="n">
        <v>1</v>
      </c>
      <c r="F17" t="n">
        <v>330.16</v>
      </c>
      <c r="G17" t="inlineStr">
        <is>
          <t>PLN</t>
        </is>
      </c>
      <c r="H17" s="13">
        <f>IF(G17="PLN",1,IF(G17="EUR",VLOOKUP(A17,Kursy!$A$4:$C$33,2,FALSE),VLOOKUP(A17,Kursy!$A$4:$C$33,3,FALSE)))</f>
        <v/>
      </c>
      <c r="I17" s="14">
        <f>ROUND(F17*H17,2)</f>
        <v/>
      </c>
      <c r="J17" s="14">
        <f>ROUND(I17*0.471,2)</f>
        <v/>
      </c>
      <c r="K17" s="14">
        <f>ROUND(I17*0.0,2)</f>
        <v/>
      </c>
      <c r="L17" s="14" t="n">
        <v>1.9</v>
      </c>
      <c r="M17" t="inlineStr">
        <is>
          <t>DHL2734202799</t>
        </is>
      </c>
      <c r="N17" s="14" t="n">
        <v>40.25</v>
      </c>
      <c r="O17" t="inlineStr"/>
      <c r="P17" s="14">
        <f>IF(O17="TAK",-(K17+L17+N17),I17-J17-K17-L17-N17)</f>
        <v/>
      </c>
      <c r="Q17" s="15">
        <f>IF(I17=0,0,P17/I17)</f>
        <v/>
      </c>
    </row>
    <row r="18">
      <c r="A18" t="inlineStr">
        <is>
          <t>2026-06-19</t>
        </is>
      </c>
      <c r="B18" t="inlineStr">
        <is>
          <t>Amazon</t>
        </is>
      </c>
      <c r="C18" t="inlineStr">
        <is>
          <t>ES</t>
        </is>
      </c>
      <c r="D18" t="inlineStr">
        <is>
          <t>LMP-001</t>
        </is>
      </c>
      <c r="E18" t="n">
        <v>1</v>
      </c>
      <c r="F18" t="n">
        <v>194.23</v>
      </c>
      <c r="G18" t="inlineStr">
        <is>
          <t>EUR</t>
        </is>
      </c>
      <c r="H18" s="13">
        <f>IF(G18="PLN",1,IF(G18="EUR",VLOOKUP(A18,Kursy!$A$4:$C$33,2,FALSE),VLOOKUP(A18,Kursy!$A$4:$C$33,3,FALSE)))</f>
        <v/>
      </c>
      <c r="I18" s="14">
        <f>ROUND(F18*H18,2)</f>
        <v/>
      </c>
      <c r="J18" s="14">
        <f>ROUND(I18*0.5106,2)</f>
        <v/>
      </c>
      <c r="K18" s="14">
        <f>ROUND(I18*0.15,2)</f>
        <v/>
      </c>
      <c r="L18" s="14" t="n">
        <v>7.3</v>
      </c>
      <c r="M18" t="inlineStr">
        <is>
          <t>DPD6320115677</t>
        </is>
      </c>
      <c r="N18" s="14" t="n">
        <v>23.87</v>
      </c>
      <c r="O18" t="inlineStr"/>
      <c r="P18" s="14">
        <f>IF(O18="TAK",-(K18+L18+N18),I18-J18-K18-L18-N18)</f>
        <v/>
      </c>
      <c r="Q18" s="15">
        <f>IF(I18=0,0,P18/I18)</f>
        <v/>
      </c>
    </row>
    <row r="19">
      <c r="A19" t="inlineStr">
        <is>
          <t>2026-06-30</t>
        </is>
      </c>
      <c r="B19" t="inlineStr">
        <is>
          <t>eBay</t>
        </is>
      </c>
      <c r="C19" t="inlineStr">
        <is>
          <t>DE</t>
        </is>
      </c>
      <c r="D19" t="inlineStr">
        <is>
          <t>ZEG-440</t>
        </is>
      </c>
      <c r="E19" t="n">
        <v>3</v>
      </c>
      <c r="F19" t="n">
        <v>966.54</v>
      </c>
      <c r="G19" t="inlineStr">
        <is>
          <t>EUR</t>
        </is>
      </c>
      <c r="H19" s="13">
        <f>IF(G19="PLN",1,IF(G19="EUR",VLOOKUP(A19,Kursy!$A$4:$C$33,2,FALSE),VLOOKUP(A19,Kursy!$A$4:$C$33,3,FALSE)))</f>
        <v/>
      </c>
      <c r="I19" s="14">
        <f>ROUND(F19*H19,2)</f>
        <v/>
      </c>
      <c r="J19" s="14">
        <f>ROUND(I19*0.5333,2)</f>
        <v/>
      </c>
      <c r="K19" s="14">
        <f>ROUND(I19*0.11,2)</f>
        <v/>
      </c>
      <c r="L19" s="14" t="n">
        <v>27.96</v>
      </c>
      <c r="M19" t="inlineStr">
        <is>
          <t>DHL9904586976</t>
        </is>
      </c>
      <c r="N19" s="14" t="n">
        <v>18.39</v>
      </c>
      <c r="O19" t="inlineStr"/>
      <c r="P19" s="14">
        <f>IF(O19="TAK",-(K19+L19+N19),I19-J19-K19-L19-N19)</f>
        <v/>
      </c>
      <c r="Q19" s="15">
        <f>IF(I19=0,0,P19/I19)</f>
        <v/>
      </c>
    </row>
    <row r="20">
      <c r="A20" t="inlineStr">
        <is>
          <t>2026-06-29</t>
        </is>
      </c>
      <c r="B20" t="inlineStr">
        <is>
          <t>eBay</t>
        </is>
      </c>
      <c r="C20" t="inlineStr">
        <is>
          <t>DE</t>
        </is>
      </c>
      <c r="D20" t="inlineStr">
        <is>
          <t>KRZ-010</t>
        </is>
      </c>
      <c r="E20" t="n">
        <v>3</v>
      </c>
      <c r="F20" t="n">
        <v>930.3</v>
      </c>
      <c r="G20" t="inlineStr">
        <is>
          <t>EUR</t>
        </is>
      </c>
      <c r="H20" s="13">
        <f>IF(G20="PLN",1,IF(G20="EUR",VLOOKUP(A20,Kursy!$A$4:$C$33,2,FALSE),VLOOKUP(A20,Kursy!$A$4:$C$33,3,FALSE)))</f>
        <v/>
      </c>
      <c r="I20" s="14">
        <f>ROUND(F20*H20,2)</f>
        <v/>
      </c>
      <c r="J20" s="14">
        <f>ROUND(I20*0.5056,2)</f>
        <v/>
      </c>
      <c r="K20" s="14">
        <f>ROUND(I20*0.11,2)</f>
        <v/>
      </c>
      <c r="L20" s="14" t="n">
        <v>12.27</v>
      </c>
      <c r="M20" t="inlineStr">
        <is>
          <t>DPD9623534576</t>
        </is>
      </c>
      <c r="N20" s="14" t="n">
        <v>36.51</v>
      </c>
      <c r="O20" t="inlineStr"/>
      <c r="P20" s="14">
        <f>IF(O20="TAK",-(K20+L20+N20),I20-J20-K20-L20-N20)</f>
        <v/>
      </c>
      <c r="Q20" s="15">
        <f>IF(I20=0,0,P20/I20)</f>
        <v/>
      </c>
    </row>
    <row r="21">
      <c r="A21" t="inlineStr">
        <is>
          <t>2026-06-29</t>
        </is>
      </c>
      <c r="B21" t="inlineStr">
        <is>
          <t>eBay</t>
        </is>
      </c>
      <c r="C21" t="inlineStr">
        <is>
          <t>DE</t>
        </is>
      </c>
      <c r="D21" t="inlineStr">
        <is>
          <t>LMP-002</t>
        </is>
      </c>
      <c r="E21" t="n">
        <v>2</v>
      </c>
      <c r="F21" t="n">
        <v>310.76</v>
      </c>
      <c r="G21" t="inlineStr">
        <is>
          <t>EUR</t>
        </is>
      </c>
      <c r="H21" s="13">
        <f>IF(G21="PLN",1,IF(G21="EUR",VLOOKUP(A21,Kursy!$A$4:$C$33,2,FALSE),VLOOKUP(A21,Kursy!$A$4:$C$33,3,FALSE)))</f>
        <v/>
      </c>
      <c r="I21" s="14">
        <f>ROUND(F21*H21,2)</f>
        <v/>
      </c>
      <c r="J21" s="14">
        <f>ROUND(I21*0.5485,2)</f>
        <v/>
      </c>
      <c r="K21" s="14">
        <f>ROUND(I21*0.11,2)</f>
        <v/>
      </c>
      <c r="L21" s="14" t="n">
        <v>7.63</v>
      </c>
      <c r="M21" t="inlineStr">
        <is>
          <t>DHL8377088167</t>
        </is>
      </c>
      <c r="N21" s="14" t="n">
        <v>18.11</v>
      </c>
      <c r="O21" t="inlineStr"/>
      <c r="P21" s="14">
        <f>IF(O21="TAK",-(K21+L21+N21),I21-J21-K21-L21-N21)</f>
        <v/>
      </c>
      <c r="Q21" s="15">
        <f>IF(I21=0,0,P21/I21)</f>
        <v/>
      </c>
    </row>
    <row r="22">
      <c r="A22" t="inlineStr">
        <is>
          <t>2026-06-28</t>
        </is>
      </c>
      <c r="B22" t="inlineStr">
        <is>
          <t>eBay</t>
        </is>
      </c>
      <c r="C22" t="inlineStr">
        <is>
          <t>DE</t>
        </is>
      </c>
      <c r="D22" t="inlineStr">
        <is>
          <t>ZEG-440</t>
        </is>
      </c>
      <c r="E22" t="n">
        <v>3</v>
      </c>
      <c r="F22" t="n">
        <v>948.72</v>
      </c>
      <c r="G22" t="inlineStr">
        <is>
          <t>EUR</t>
        </is>
      </c>
      <c r="H22" s="13">
        <f>IF(G22="PLN",1,IF(G22="EUR",VLOOKUP(A22,Kursy!$A$4:$C$33,2,FALSE),VLOOKUP(A22,Kursy!$A$4:$C$33,3,FALSE)))</f>
        <v/>
      </c>
      <c r="I22" s="14">
        <f>ROUND(F22*H22,2)</f>
        <v/>
      </c>
      <c r="J22" s="14">
        <f>ROUND(I22*0.5615,2)</f>
        <v/>
      </c>
      <c r="K22" s="14">
        <f>ROUND(I22*0.11,2)</f>
        <v/>
      </c>
      <c r="L22" s="14" t="n">
        <v>23.22</v>
      </c>
      <c r="M22" t="inlineStr">
        <is>
          <t>DHL5310195918</t>
        </is>
      </c>
      <c r="N22" s="14" t="n">
        <v>35.13</v>
      </c>
      <c r="O22" t="inlineStr">
        <is>
          <t>TAK</t>
        </is>
      </c>
      <c r="P22" s="14">
        <f>IF(O22="TAK",-(K22+L22+N22),I22-J22-K22-L22-N22)</f>
        <v/>
      </c>
      <c r="Q22" s="15">
        <f>IF(I22=0,0,P22/I22)</f>
        <v/>
      </c>
    </row>
    <row r="23">
      <c r="A23" t="inlineStr">
        <is>
          <t>2026-06-14</t>
        </is>
      </c>
      <c r="B23" t="inlineStr">
        <is>
          <t>eBay</t>
        </is>
      </c>
      <c r="C23" t="inlineStr">
        <is>
          <t>DE</t>
        </is>
      </c>
      <c r="D23" t="inlineStr">
        <is>
          <t>KRZ-010</t>
        </is>
      </c>
      <c r="E23" t="n">
        <v>4</v>
      </c>
      <c r="F23" t="n">
        <v>909.88</v>
      </c>
      <c r="G23" t="inlineStr">
        <is>
          <t>EUR</t>
        </is>
      </c>
      <c r="H23" s="13">
        <f>IF(G23="PLN",1,IF(G23="EUR",VLOOKUP(A23,Kursy!$A$4:$C$33,2,FALSE),VLOOKUP(A23,Kursy!$A$4:$C$33,3,FALSE)))</f>
        <v/>
      </c>
      <c r="I23" s="14">
        <f>ROUND(F23*H23,2)</f>
        <v/>
      </c>
      <c r="J23" s="14">
        <f>ROUND(I23*0.4779,2)</f>
        <v/>
      </c>
      <c r="K23" s="14">
        <f>ROUND(I23*0.11,2)</f>
        <v/>
      </c>
      <c r="L23" s="14" t="n">
        <v>26.46</v>
      </c>
      <c r="M23" t="inlineStr">
        <is>
          <t>DHL3343292475</t>
        </is>
      </c>
      <c r="N23" s="14" t="n">
        <v>37.04</v>
      </c>
      <c r="O23" t="inlineStr"/>
      <c r="P23" s="14">
        <f>IF(O23="TAK",-(K23+L23+N23),I23-J23-K23-L23-N23)</f>
        <v/>
      </c>
      <c r="Q23" s="15">
        <f>IF(I23=0,0,P23/I23)</f>
        <v/>
      </c>
    </row>
    <row r="24">
      <c r="A24" t="inlineStr">
        <is>
          <t>2026-06-10</t>
        </is>
      </c>
      <c r="B24" t="inlineStr">
        <is>
          <t>PrestaShop</t>
        </is>
      </c>
      <c r="C24" t="inlineStr">
        <is>
          <t>PL</t>
        </is>
      </c>
      <c r="D24" t="inlineStr">
        <is>
          <t>KRZ-010</t>
        </is>
      </c>
      <c r="E24" t="n">
        <v>4</v>
      </c>
      <c r="F24" t="n">
        <v>483.96</v>
      </c>
      <c r="G24" t="inlineStr">
        <is>
          <t>PLN</t>
        </is>
      </c>
      <c r="H24" s="13">
        <f>IF(G24="PLN",1,IF(G24="EUR",VLOOKUP(A24,Kursy!$A$4:$C$33,2,FALSE),VLOOKUP(A24,Kursy!$A$4:$C$33,3,FALSE)))</f>
        <v/>
      </c>
      <c r="I24" s="14">
        <f>ROUND(F24*H24,2)</f>
        <v/>
      </c>
      <c r="J24" s="14">
        <f>ROUND(I24*0.6093,2)</f>
        <v/>
      </c>
      <c r="K24" s="14">
        <f>ROUND(I24*0.0,2)</f>
        <v/>
      </c>
      <c r="L24" s="14" t="n">
        <v>27.22</v>
      </c>
      <c r="M24" t="inlineStr">
        <is>
          <t>DHL9155819200</t>
        </is>
      </c>
      <c r="N24" s="14" t="n">
        <v>18.3</v>
      </c>
      <c r="O24" t="inlineStr"/>
      <c r="P24" s="14">
        <f>IF(O24="TAK",-(K24+L24+N24),I24-J24-K24-L24-N24)</f>
        <v/>
      </c>
      <c r="Q24" s="15">
        <f>IF(I24=0,0,P24/I24)</f>
        <v/>
      </c>
    </row>
    <row r="25">
      <c r="A25" t="inlineStr">
        <is>
          <t>2026-06-29</t>
        </is>
      </c>
      <c r="B25" t="inlineStr">
        <is>
          <t>Amazon</t>
        </is>
      </c>
      <c r="C25" t="inlineStr">
        <is>
          <t>ES</t>
        </is>
      </c>
      <c r="D25" t="inlineStr">
        <is>
          <t>LMP-002</t>
        </is>
      </c>
      <c r="E25" t="n">
        <v>3</v>
      </c>
      <c r="F25" t="n">
        <v>854.4299999999999</v>
      </c>
      <c r="G25" t="inlineStr">
        <is>
          <t>EUR</t>
        </is>
      </c>
      <c r="H25" s="13">
        <f>IF(G25="PLN",1,IF(G25="EUR",VLOOKUP(A25,Kursy!$A$4:$C$33,2,FALSE),VLOOKUP(A25,Kursy!$A$4:$C$33,3,FALSE)))</f>
        <v/>
      </c>
      <c r="I25" s="14">
        <f>ROUND(F25*H25,2)</f>
        <v/>
      </c>
      <c r="J25" s="14">
        <f>ROUND(I25*0.6158,2)</f>
        <v/>
      </c>
      <c r="K25" s="14">
        <f>ROUND(I25*0.15,2)</f>
        <v/>
      </c>
      <c r="L25" s="14" t="n">
        <v>20.99</v>
      </c>
      <c r="M25" t="inlineStr">
        <is>
          <t>DHL4713453204</t>
        </is>
      </c>
      <c r="N25" s="14" t="n">
        <v>41.29</v>
      </c>
      <c r="O25" t="inlineStr"/>
      <c r="P25" s="14">
        <f>IF(O25="TAK",-(K25+L25+N25),I25-J25-K25-L25-N25)</f>
        <v/>
      </c>
      <c r="Q25" s="15">
        <f>IF(I25=0,0,P25/I25)</f>
        <v/>
      </c>
    </row>
    <row r="26">
      <c r="A26" t="inlineStr">
        <is>
          <t>2026-06-30</t>
        </is>
      </c>
      <c r="B26" t="inlineStr">
        <is>
          <t>Amazon</t>
        </is>
      </c>
      <c r="C26" t="inlineStr">
        <is>
          <t>IT</t>
        </is>
      </c>
      <c r="D26" t="inlineStr">
        <is>
          <t>POL-330</t>
        </is>
      </c>
      <c r="E26" t="n">
        <v>1</v>
      </c>
      <c r="F26" t="n">
        <v>134.02</v>
      </c>
      <c r="G26" t="inlineStr">
        <is>
          <t>EUR</t>
        </is>
      </c>
      <c r="H26" s="13">
        <f>IF(G26="PLN",1,IF(G26="EUR",VLOOKUP(A26,Kursy!$A$4:$C$33,2,FALSE),VLOOKUP(A26,Kursy!$A$4:$C$33,3,FALSE)))</f>
        <v/>
      </c>
      <c r="I26" s="14">
        <f>ROUND(F26*H26,2)</f>
        <v/>
      </c>
      <c r="J26" s="14">
        <f>ROUND(I26*0.6089,2)</f>
        <v/>
      </c>
      <c r="K26" s="14">
        <f>ROUND(I26*0.15,2)</f>
        <v/>
      </c>
      <c r="L26" s="14" t="n">
        <v>22.46</v>
      </c>
      <c r="M26" t="inlineStr">
        <is>
          <t>DHL2145921803</t>
        </is>
      </c>
      <c r="N26" s="14" t="n">
        <v>35.62</v>
      </c>
      <c r="O26" t="inlineStr"/>
      <c r="P26" s="14">
        <f>IF(O26="TAK",-(K26+L26+N26),I26-J26-K26-L26-N26)</f>
        <v/>
      </c>
      <c r="Q26" s="15">
        <f>IF(I26=0,0,P26/I26)</f>
        <v/>
      </c>
    </row>
    <row r="27">
      <c r="A27" t="inlineStr">
        <is>
          <t>2026-06-08</t>
        </is>
      </c>
      <c r="B27" t="inlineStr">
        <is>
          <t>Amazon</t>
        </is>
      </c>
      <c r="C27" t="inlineStr">
        <is>
          <t>FR</t>
        </is>
      </c>
      <c r="D27" t="inlineStr">
        <is>
          <t>POL-330</t>
        </is>
      </c>
      <c r="E27" t="n">
        <v>1</v>
      </c>
      <c r="F27" t="n">
        <v>304.51</v>
      </c>
      <c r="G27" t="inlineStr">
        <is>
          <t>EUR</t>
        </is>
      </c>
      <c r="H27" s="13">
        <f>IF(G27="PLN",1,IF(G27="EUR",VLOOKUP(A27,Kursy!$A$4:$C$33,2,FALSE),VLOOKUP(A27,Kursy!$A$4:$C$33,3,FALSE)))</f>
        <v/>
      </c>
      <c r="I27" s="14">
        <f>ROUND(F27*H27,2)</f>
        <v/>
      </c>
      <c r="J27" s="14">
        <f>ROUND(I27*0.607,2)</f>
        <v/>
      </c>
      <c r="K27" s="14">
        <f>ROUND(I27*0.15,2)</f>
        <v/>
      </c>
      <c r="L27" s="14" t="n">
        <v>9.789999999999999</v>
      </c>
      <c r="M27" t="inlineStr">
        <is>
          <t>DHL1957449367</t>
        </is>
      </c>
      <c r="N27" s="14" t="n">
        <v>31.8</v>
      </c>
      <c r="O27" t="inlineStr"/>
      <c r="P27" s="14">
        <f>IF(O27="TAK",-(K27+L27+N27),I27-J27-K27-L27-N27)</f>
        <v/>
      </c>
      <c r="Q27" s="15">
        <f>IF(I27=0,0,P27/I27)</f>
        <v/>
      </c>
    </row>
    <row r="28">
      <c r="A28" t="inlineStr">
        <is>
          <t>2026-06-25</t>
        </is>
      </c>
      <c r="B28" t="inlineStr">
        <is>
          <t>Allegro</t>
        </is>
      </c>
      <c r="C28" t="inlineStr">
        <is>
          <t>PL</t>
        </is>
      </c>
      <c r="D28" t="inlineStr">
        <is>
          <t>DYW-220</t>
        </is>
      </c>
      <c r="E28" t="n">
        <v>3</v>
      </c>
      <c r="F28" t="n">
        <v>917.85</v>
      </c>
      <c r="G28" t="inlineStr">
        <is>
          <t>PLN</t>
        </is>
      </c>
      <c r="H28" s="13">
        <f>IF(G28="PLN",1,IF(G28="EUR",VLOOKUP(A28,Kursy!$A$4:$C$33,2,FALSE),VLOOKUP(A28,Kursy!$A$4:$C$33,3,FALSE)))</f>
        <v/>
      </c>
      <c r="I28" s="14">
        <f>ROUND(F28*H28,2)</f>
        <v/>
      </c>
      <c r="J28" s="14">
        <f>ROUND(I28*0.5626,2)</f>
        <v/>
      </c>
      <c r="K28" s="14">
        <f>ROUND(I28*0.09,2)</f>
        <v/>
      </c>
      <c r="L28" s="14" t="n">
        <v>11.19</v>
      </c>
      <c r="M28" t="inlineStr">
        <is>
          <t>DPD5033992825</t>
        </is>
      </c>
      <c r="N28" s="14" t="n">
        <v>15.46</v>
      </c>
      <c r="O28" t="inlineStr"/>
      <c r="P28" s="14">
        <f>IF(O28="TAK",-(K28+L28+N28),I28-J28-K28-L28-N28)</f>
        <v/>
      </c>
      <c r="Q28" s="15">
        <f>IF(I28=0,0,P28/I28)</f>
        <v/>
      </c>
    </row>
    <row r="29">
      <c r="A29" t="inlineStr">
        <is>
          <t>2026-06-20</t>
        </is>
      </c>
      <c r="B29" t="inlineStr">
        <is>
          <t>eBay</t>
        </is>
      </c>
      <c r="C29" t="inlineStr">
        <is>
          <t>DE</t>
        </is>
      </c>
      <c r="D29" t="inlineStr">
        <is>
          <t>KRZ-010</t>
        </is>
      </c>
      <c r="E29" t="n">
        <v>3</v>
      </c>
      <c r="F29" t="n">
        <v>295.8</v>
      </c>
      <c r="G29" t="inlineStr">
        <is>
          <t>EUR</t>
        </is>
      </c>
      <c r="H29" s="13">
        <f>IF(G29="PLN",1,IF(G29="EUR",VLOOKUP(A29,Kursy!$A$4:$C$33,2,FALSE),VLOOKUP(A29,Kursy!$A$4:$C$33,3,FALSE)))</f>
        <v/>
      </c>
      <c r="I29" s="14">
        <f>ROUND(F29*H29,2)</f>
        <v/>
      </c>
      <c r="J29" s="14">
        <f>ROUND(I29*0.5766,2)</f>
        <v/>
      </c>
      <c r="K29" s="14">
        <f>ROUND(I29*0.11,2)</f>
        <v/>
      </c>
      <c r="L29" s="14" t="n">
        <v>8.779999999999999</v>
      </c>
      <c r="M29" t="inlineStr">
        <is>
          <t>DHL3476426797</t>
        </is>
      </c>
      <c r="N29" s="14" t="n">
        <v>19.64</v>
      </c>
      <c r="O29" t="inlineStr"/>
      <c r="P29" s="14">
        <f>IF(O29="TAK",-(K29+L29+N29),I29-J29-K29-L29-N29)</f>
        <v/>
      </c>
      <c r="Q29" s="15">
        <f>IF(I29=0,0,P29/I29)</f>
        <v/>
      </c>
    </row>
    <row r="30">
      <c r="A30" t="inlineStr">
        <is>
          <t>2026-06-03</t>
        </is>
      </c>
      <c r="B30" t="inlineStr">
        <is>
          <t>Allegro</t>
        </is>
      </c>
      <c r="C30" t="inlineStr">
        <is>
          <t>PL</t>
        </is>
      </c>
      <c r="D30" t="inlineStr">
        <is>
          <t>LMP-001</t>
        </is>
      </c>
      <c r="E30" t="n">
        <v>2</v>
      </c>
      <c r="F30" t="n">
        <v>360.84</v>
      </c>
      <c r="G30" t="inlineStr">
        <is>
          <t>PLN</t>
        </is>
      </c>
      <c r="H30" s="13">
        <f>IF(G30="PLN",1,IF(G30="EUR",VLOOKUP(A30,Kursy!$A$4:$C$33,2,FALSE),VLOOKUP(A30,Kursy!$A$4:$C$33,3,FALSE)))</f>
        <v/>
      </c>
      <c r="I30" s="14">
        <f>ROUND(F30*H30,2)</f>
        <v/>
      </c>
      <c r="J30" s="14">
        <f>ROUND(I30*0.6073,2)</f>
        <v/>
      </c>
      <c r="K30" s="14">
        <f>ROUND(I30*0.09,2)</f>
        <v/>
      </c>
      <c r="L30" s="14" t="n">
        <v>17.45</v>
      </c>
      <c r="M30" t="inlineStr">
        <is>
          <t>DHL7049001493</t>
        </is>
      </c>
      <c r="N30" s="14" t="n">
        <v>24.07</v>
      </c>
      <c r="O30" t="inlineStr"/>
      <c r="P30" s="14">
        <f>IF(O30="TAK",-(K30+L30+N30),I30-J30-K30-L30-N30)</f>
        <v/>
      </c>
      <c r="Q30" s="15">
        <f>IF(I30=0,0,P30/I30)</f>
        <v/>
      </c>
    </row>
    <row r="31">
      <c r="A31" t="inlineStr">
        <is>
          <t>2026-06-13</t>
        </is>
      </c>
      <c r="B31" t="inlineStr">
        <is>
          <t>eBay</t>
        </is>
      </c>
      <c r="C31" t="inlineStr">
        <is>
          <t>DE</t>
        </is>
      </c>
      <c r="D31" t="inlineStr">
        <is>
          <t>KRZ-010</t>
        </is>
      </c>
      <c r="E31" t="n">
        <v>2</v>
      </c>
      <c r="F31" t="n">
        <v>389.06</v>
      </c>
      <c r="G31" t="inlineStr">
        <is>
          <t>EUR</t>
        </is>
      </c>
      <c r="H31" s="13">
        <f>IF(G31="PLN",1,IF(G31="EUR",VLOOKUP(A31,Kursy!$A$4:$C$33,2,FALSE),VLOOKUP(A31,Kursy!$A$4:$C$33,3,FALSE)))</f>
        <v/>
      </c>
      <c r="I31" s="14">
        <f>ROUND(F31*H31,2)</f>
        <v/>
      </c>
      <c r="J31" s="14">
        <f>ROUND(I31*0.6044,2)</f>
        <v/>
      </c>
      <c r="K31" s="14">
        <f>ROUND(I31*0.11,2)</f>
        <v/>
      </c>
      <c r="L31" s="14" t="n">
        <v>17.23</v>
      </c>
      <c r="M31" t="inlineStr">
        <is>
          <t>DPD4580822352</t>
        </is>
      </c>
      <c r="N31" s="14" t="n">
        <v>21.12</v>
      </c>
      <c r="O31" t="inlineStr"/>
      <c r="P31" s="14">
        <f>IF(O31="TAK",-(K31+L31+N31),I31-J31-K31-L31-N31)</f>
        <v/>
      </c>
      <c r="Q31" s="15">
        <f>IF(I31=0,0,P31/I31)</f>
        <v/>
      </c>
    </row>
    <row r="32">
      <c r="A32" t="inlineStr">
        <is>
          <t>2026-06-15</t>
        </is>
      </c>
      <c r="B32" t="inlineStr">
        <is>
          <t>Amazon</t>
        </is>
      </c>
      <c r="C32" t="inlineStr">
        <is>
          <t>ES</t>
        </is>
      </c>
      <c r="D32" t="inlineStr">
        <is>
          <t>POL-330</t>
        </is>
      </c>
      <c r="E32" t="n">
        <v>3</v>
      </c>
      <c r="F32" t="n">
        <v>617.13</v>
      </c>
      <c r="G32" t="inlineStr">
        <is>
          <t>EUR</t>
        </is>
      </c>
      <c r="H32" s="13">
        <f>IF(G32="PLN",1,IF(G32="EUR",VLOOKUP(A32,Kursy!$A$4:$C$33,2,FALSE),VLOOKUP(A32,Kursy!$A$4:$C$33,3,FALSE)))</f>
        <v/>
      </c>
      <c r="I32" s="14">
        <f>ROUND(F32*H32,2)</f>
        <v/>
      </c>
      <c r="J32" s="14">
        <f>ROUND(I32*0.5418,2)</f>
        <v/>
      </c>
      <c r="K32" s="14">
        <f>ROUND(I32*0.15,2)</f>
        <v/>
      </c>
      <c r="L32" s="14" t="n">
        <v>22.22</v>
      </c>
      <c r="M32" t="inlineStr">
        <is>
          <t>DHL3829742424</t>
        </is>
      </c>
      <c r="N32" s="14" t="n">
        <v>20.51</v>
      </c>
      <c r="O32" t="inlineStr"/>
      <c r="P32" s="14">
        <f>IF(O32="TAK",-(K32+L32+N32),I32-J32-K32-L32-N32)</f>
        <v/>
      </c>
      <c r="Q32" s="15">
        <f>IF(I32=0,0,P32/I32)</f>
        <v/>
      </c>
    </row>
    <row r="33">
      <c r="A33" t="inlineStr">
        <is>
          <t>2026-06-08</t>
        </is>
      </c>
      <c r="B33" t="inlineStr">
        <is>
          <t>eBay</t>
        </is>
      </c>
      <c r="C33" t="inlineStr">
        <is>
          <t>FR</t>
        </is>
      </c>
      <c r="D33" t="inlineStr">
        <is>
          <t>LMP-002</t>
        </is>
      </c>
      <c r="E33" t="n">
        <v>2</v>
      </c>
      <c r="F33" t="n">
        <v>515.74</v>
      </c>
      <c r="G33" t="inlineStr">
        <is>
          <t>EUR</t>
        </is>
      </c>
      <c r="H33" s="13">
        <f>IF(G33="PLN",1,IF(G33="EUR",VLOOKUP(A33,Kursy!$A$4:$C$33,2,FALSE),VLOOKUP(A33,Kursy!$A$4:$C$33,3,FALSE)))</f>
        <v/>
      </c>
      <c r="I33" s="14">
        <f>ROUND(F33*H33,2)</f>
        <v/>
      </c>
      <c r="J33" s="14">
        <f>ROUND(I33*0.4836,2)</f>
        <v/>
      </c>
      <c r="K33" s="14">
        <f>ROUND(I33*0.11,2)</f>
        <v/>
      </c>
      <c r="L33" s="14" t="n">
        <v>1.29</v>
      </c>
      <c r="M33" t="inlineStr">
        <is>
          <t>DPD4300636585</t>
        </is>
      </c>
      <c r="N33" s="14" t="n">
        <v>25.66</v>
      </c>
      <c r="O33" t="inlineStr"/>
      <c r="P33" s="14">
        <f>IF(O33="TAK",-(K33+L33+N33),I33-J33-K33-L33-N33)</f>
        <v/>
      </c>
      <c r="Q33" s="15">
        <f>IF(I33=0,0,P33/I33)</f>
        <v/>
      </c>
    </row>
    <row r="34">
      <c r="A34" t="inlineStr">
        <is>
          <t>2026-06-05</t>
        </is>
      </c>
      <c r="B34" t="inlineStr">
        <is>
          <t>Amazon</t>
        </is>
      </c>
      <c r="C34" t="inlineStr">
        <is>
          <t>ES</t>
        </is>
      </c>
      <c r="D34" t="inlineStr">
        <is>
          <t>POL-330</t>
        </is>
      </c>
      <c r="E34" t="n">
        <v>4</v>
      </c>
      <c r="F34" t="n">
        <v>757.24</v>
      </c>
      <c r="G34" t="inlineStr">
        <is>
          <t>EUR</t>
        </is>
      </c>
      <c r="H34" s="13">
        <f>IF(G34="PLN",1,IF(G34="EUR",VLOOKUP(A34,Kursy!$A$4:$C$33,2,FALSE),VLOOKUP(A34,Kursy!$A$4:$C$33,3,FALSE)))</f>
        <v/>
      </c>
      <c r="I34" s="14">
        <f>ROUND(F34*H34,2)</f>
        <v/>
      </c>
      <c r="J34" s="14">
        <f>ROUND(I34*0.4609,2)</f>
        <v/>
      </c>
      <c r="K34" s="14">
        <f>ROUND(I34*0.15,2)</f>
        <v/>
      </c>
      <c r="L34" s="14" t="n">
        <v>21.03</v>
      </c>
      <c r="M34" t="inlineStr">
        <is>
          <t>DHL8638257497</t>
        </is>
      </c>
      <c r="N34" s="14" t="n">
        <v>18.57</v>
      </c>
      <c r="O34" t="inlineStr"/>
      <c r="P34" s="14">
        <f>IF(O34="TAK",-(K34+L34+N34),I34-J34-K34-L34-N34)</f>
        <v/>
      </c>
      <c r="Q34" s="15">
        <f>IF(I34=0,0,P34/I34)</f>
        <v/>
      </c>
    </row>
    <row r="35">
      <c r="A35" t="inlineStr">
        <is>
          <t>2026-06-30</t>
        </is>
      </c>
      <c r="B35" t="inlineStr">
        <is>
          <t>PrestaShop</t>
        </is>
      </c>
      <c r="C35" t="inlineStr">
        <is>
          <t>PL</t>
        </is>
      </c>
      <c r="D35" t="inlineStr">
        <is>
          <t>ZEG-440</t>
        </is>
      </c>
      <c r="E35" t="n">
        <v>1</v>
      </c>
      <c r="F35" t="n">
        <v>228.91</v>
      </c>
      <c r="G35" t="inlineStr">
        <is>
          <t>PLN</t>
        </is>
      </c>
      <c r="H35" s="13">
        <f>IF(G35="PLN",1,IF(G35="EUR",VLOOKUP(A35,Kursy!$A$4:$C$33,2,FALSE),VLOOKUP(A35,Kursy!$A$4:$C$33,3,FALSE)))</f>
        <v/>
      </c>
      <c r="I35" s="14">
        <f>ROUND(F35*H35,2)</f>
        <v/>
      </c>
      <c r="J35" s="14">
        <f>ROUND(I35*0.533,2)</f>
        <v/>
      </c>
      <c r="K35" s="14">
        <f>ROUND(I35*0.0,2)</f>
        <v/>
      </c>
      <c r="L35" s="14" t="n">
        <v>22.44</v>
      </c>
      <c r="M35" t="inlineStr">
        <is>
          <t>DPD9123612497</t>
        </is>
      </c>
      <c r="N35" s="14" t="n">
        <v>30.38</v>
      </c>
      <c r="O35" t="inlineStr"/>
      <c r="P35" s="14">
        <f>IF(O35="TAK",-(K35+L35+N35),I35-J35-K35-L35-N35)</f>
        <v/>
      </c>
      <c r="Q35" s="15">
        <f>IF(I35=0,0,P35/I35)</f>
        <v/>
      </c>
    </row>
    <row r="36">
      <c r="A36" t="inlineStr">
        <is>
          <t>2026-06-24</t>
        </is>
      </c>
      <c r="B36" t="inlineStr">
        <is>
          <t>PrestaShop</t>
        </is>
      </c>
      <c r="C36" t="inlineStr">
        <is>
          <t>PL</t>
        </is>
      </c>
      <c r="D36" t="inlineStr">
        <is>
          <t>POL-330</t>
        </is>
      </c>
      <c r="E36" t="n">
        <v>4</v>
      </c>
      <c r="F36" t="n">
        <v>1256.8</v>
      </c>
      <c r="G36" t="inlineStr">
        <is>
          <t>PLN</t>
        </is>
      </c>
      <c r="H36" s="13">
        <f>IF(G36="PLN",1,IF(G36="EUR",VLOOKUP(A36,Kursy!$A$4:$C$33,2,FALSE),VLOOKUP(A36,Kursy!$A$4:$C$33,3,FALSE)))</f>
        <v/>
      </c>
      <c r="I36" s="14">
        <f>ROUND(F36*H36,2)</f>
        <v/>
      </c>
      <c r="J36" s="14">
        <f>ROUND(I36*0.532,2)</f>
        <v/>
      </c>
      <c r="K36" s="14">
        <f>ROUND(I36*0.0,2)</f>
        <v/>
      </c>
      <c r="L36" s="14" t="n">
        <v>21.05</v>
      </c>
      <c r="M36" t="inlineStr">
        <is>
          <t>DPD7533932947</t>
        </is>
      </c>
      <c r="N36" s="14" t="n">
        <v>30.8</v>
      </c>
      <c r="O36" t="inlineStr"/>
      <c r="P36" s="14">
        <f>IF(O36="TAK",-(K36+L36+N36),I36-J36-K36-L36-N36)</f>
        <v/>
      </c>
      <c r="Q36" s="15">
        <f>IF(I36=0,0,P36/I36)</f>
        <v/>
      </c>
    </row>
    <row r="37">
      <c r="A37" t="inlineStr">
        <is>
          <t>2026-06-08</t>
        </is>
      </c>
      <c r="B37" t="inlineStr">
        <is>
          <t>eBay</t>
        </is>
      </c>
      <c r="C37" t="inlineStr">
        <is>
          <t>DE</t>
        </is>
      </c>
      <c r="D37" t="inlineStr">
        <is>
          <t>ZEG-440</t>
        </is>
      </c>
      <c r="E37" t="n">
        <v>1</v>
      </c>
      <c r="F37" t="n">
        <v>268.1</v>
      </c>
      <c r="G37" t="inlineStr">
        <is>
          <t>EUR</t>
        </is>
      </c>
      <c r="H37" s="13">
        <f>IF(G37="PLN",1,IF(G37="EUR",VLOOKUP(A37,Kursy!$A$4:$C$33,2,FALSE),VLOOKUP(A37,Kursy!$A$4:$C$33,3,FALSE)))</f>
        <v/>
      </c>
      <c r="I37" s="14">
        <f>ROUND(F37*H37,2)</f>
        <v/>
      </c>
      <c r="J37" s="14">
        <f>ROUND(I37*0.5112,2)</f>
        <v/>
      </c>
      <c r="K37" s="14">
        <f>ROUND(I37*0.11,2)</f>
        <v/>
      </c>
      <c r="L37" s="14" t="n">
        <v>15.12</v>
      </c>
      <c r="M37" t="inlineStr">
        <is>
          <t>DHL1647812758</t>
        </is>
      </c>
      <c r="N37" s="14" t="n">
        <v>23.49</v>
      </c>
      <c r="O37" t="inlineStr"/>
      <c r="P37" s="14">
        <f>IF(O37="TAK",-(K37+L37+N37),I37-J37-K37-L37-N37)</f>
        <v/>
      </c>
      <c r="Q37" s="15">
        <f>IF(I37=0,0,P37/I37)</f>
        <v/>
      </c>
    </row>
    <row r="38">
      <c r="A38" t="inlineStr">
        <is>
          <t>2026-06-11</t>
        </is>
      </c>
      <c r="B38" t="inlineStr">
        <is>
          <t>Amazon</t>
        </is>
      </c>
      <c r="C38" t="inlineStr">
        <is>
          <t>IT</t>
        </is>
      </c>
      <c r="D38" t="inlineStr">
        <is>
          <t>KRZ-011</t>
        </is>
      </c>
      <c r="E38" t="n">
        <v>1</v>
      </c>
      <c r="F38" t="n">
        <v>193.13</v>
      </c>
      <c r="G38" t="inlineStr">
        <is>
          <t>EUR</t>
        </is>
      </c>
      <c r="H38" s="13">
        <f>IF(G38="PLN",1,IF(G38="EUR",VLOOKUP(A38,Kursy!$A$4:$C$33,2,FALSE),VLOOKUP(A38,Kursy!$A$4:$C$33,3,FALSE)))</f>
        <v/>
      </c>
      <c r="I38" s="14">
        <f>ROUND(F38*H38,2)</f>
        <v/>
      </c>
      <c r="J38" s="14">
        <f>ROUND(I38*0.5265,2)</f>
        <v/>
      </c>
      <c r="K38" s="14">
        <f>ROUND(I38*0.15,2)</f>
        <v/>
      </c>
      <c r="L38" s="14" t="n">
        <v>5.79</v>
      </c>
      <c r="M38" t="inlineStr">
        <is>
          <t>DPD7767538527</t>
        </is>
      </c>
      <c r="N38" s="14" t="n">
        <v>26.31</v>
      </c>
      <c r="O38" t="inlineStr"/>
      <c r="P38" s="14">
        <f>IF(O38="TAK",-(K38+L38+N38),I38-J38-K38-L38-N38)</f>
        <v/>
      </c>
      <c r="Q38" s="15">
        <f>IF(I38=0,0,P38/I38)</f>
        <v/>
      </c>
    </row>
    <row r="39">
      <c r="A39" t="inlineStr">
        <is>
          <t>2026-06-27</t>
        </is>
      </c>
      <c r="B39" t="inlineStr">
        <is>
          <t>eBay</t>
        </is>
      </c>
      <c r="C39" t="inlineStr">
        <is>
          <t>FR</t>
        </is>
      </c>
      <c r="D39" t="inlineStr">
        <is>
          <t>STO-100</t>
        </is>
      </c>
      <c r="E39" t="n">
        <v>4</v>
      </c>
      <c r="F39" t="n">
        <v>1212.88</v>
      </c>
      <c r="G39" t="inlineStr">
        <is>
          <t>EUR</t>
        </is>
      </c>
      <c r="H39" s="13">
        <f>IF(G39="PLN",1,IF(G39="EUR",VLOOKUP(A39,Kursy!$A$4:$C$33,2,FALSE),VLOOKUP(A39,Kursy!$A$4:$C$33,3,FALSE)))</f>
        <v/>
      </c>
      <c r="I39" s="14">
        <f>ROUND(F39*H39,2)</f>
        <v/>
      </c>
      <c r="J39" s="14">
        <f>ROUND(I39*0.5796,2)</f>
        <v/>
      </c>
      <c r="K39" s="14">
        <f>ROUND(I39*0.11,2)</f>
        <v/>
      </c>
      <c r="L39" s="14" t="n">
        <v>15.29</v>
      </c>
      <c r="M39" t="inlineStr">
        <is>
          <t>DHL3096929657</t>
        </is>
      </c>
      <c r="N39" s="14" t="n">
        <v>20.19</v>
      </c>
      <c r="O39" t="inlineStr"/>
      <c r="P39" s="14">
        <f>IF(O39="TAK",-(K39+L39+N39),I39-J39-K39-L39-N39)</f>
        <v/>
      </c>
      <c r="Q39" s="15">
        <f>IF(I39=0,0,P39/I39)</f>
        <v/>
      </c>
    </row>
    <row r="40">
      <c r="A40" t="inlineStr">
        <is>
          <t>2026-06-22</t>
        </is>
      </c>
      <c r="B40" t="inlineStr">
        <is>
          <t>Allegro</t>
        </is>
      </c>
      <c r="C40" t="inlineStr">
        <is>
          <t>CZ</t>
        </is>
      </c>
      <c r="D40" t="inlineStr">
        <is>
          <t>LMP-001</t>
        </is>
      </c>
      <c r="E40" t="n">
        <v>4</v>
      </c>
      <c r="F40" t="n">
        <v>693.48</v>
      </c>
      <c r="G40" t="inlineStr">
        <is>
          <t>CZK</t>
        </is>
      </c>
      <c r="H40" s="13">
        <f>IF(G40="PLN",1,IF(G40="EUR",VLOOKUP(A40,Kursy!$A$4:$C$33,2,FALSE),VLOOKUP(A40,Kursy!$A$4:$C$33,3,FALSE)))</f>
        <v/>
      </c>
      <c r="I40" s="14">
        <f>ROUND(F40*H40,2)</f>
        <v/>
      </c>
      <c r="J40" s="14">
        <f>ROUND(I40*0.5759,2)</f>
        <v/>
      </c>
      <c r="K40" s="14">
        <f>ROUND(I40*0.09,2)</f>
        <v/>
      </c>
      <c r="L40" s="14" t="n">
        <v>23.53</v>
      </c>
      <c r="M40" t="inlineStr">
        <is>
          <t>DHL3294043548</t>
        </is>
      </c>
      <c r="N40" s="14" t="n">
        <v>39.21</v>
      </c>
      <c r="O40" t="inlineStr"/>
      <c r="P40" s="14">
        <f>IF(O40="TAK",-(K40+L40+N40),I40-J40-K40-L40-N40)</f>
        <v/>
      </c>
      <c r="Q40" s="15">
        <f>IF(I40=0,0,P40/I40)</f>
        <v/>
      </c>
    </row>
    <row r="41">
      <c r="A41" t="inlineStr">
        <is>
          <t>2026-06-15</t>
        </is>
      </c>
      <c r="B41" t="inlineStr">
        <is>
          <t>Amazon</t>
        </is>
      </c>
      <c r="C41" t="inlineStr">
        <is>
          <t>DE</t>
        </is>
      </c>
      <c r="D41" t="inlineStr">
        <is>
          <t>LMP-002</t>
        </is>
      </c>
      <c r="E41" t="n">
        <v>4</v>
      </c>
      <c r="F41" t="n">
        <v>492.24</v>
      </c>
      <c r="G41" t="inlineStr">
        <is>
          <t>EUR</t>
        </is>
      </c>
      <c r="H41" s="13">
        <f>IF(G41="PLN",1,IF(G41="EUR",VLOOKUP(A41,Kursy!$A$4:$C$33,2,FALSE),VLOOKUP(A41,Kursy!$A$4:$C$33,3,FALSE)))</f>
        <v/>
      </c>
      <c r="I41" s="14">
        <f>ROUND(F41*H41,2)</f>
        <v/>
      </c>
      <c r="J41" s="14">
        <f>ROUND(I41*0.5016,2)</f>
        <v/>
      </c>
      <c r="K41" s="14">
        <f>ROUND(I41*0.15,2)</f>
        <v/>
      </c>
      <c r="L41" s="14" t="n">
        <v>9.17</v>
      </c>
      <c r="M41" t="inlineStr">
        <is>
          <t>DPD6698759353</t>
        </is>
      </c>
      <c r="N41" s="14" t="n">
        <v>34.84</v>
      </c>
      <c r="O41" t="inlineStr"/>
      <c r="P41" s="14">
        <f>IF(O41="TAK",-(K41+L41+N41),I41-J41-K41-L41-N41)</f>
        <v/>
      </c>
      <c r="Q41" s="15">
        <f>IF(I41=0,0,P41/I41)</f>
        <v/>
      </c>
    </row>
    <row r="42">
      <c r="A42" t="inlineStr">
        <is>
          <t>2026-06-03</t>
        </is>
      </c>
      <c r="B42" t="inlineStr">
        <is>
          <t>Allegro</t>
        </is>
      </c>
      <c r="C42" t="inlineStr">
        <is>
          <t>PL</t>
        </is>
      </c>
      <c r="D42" t="inlineStr">
        <is>
          <t>STO-100</t>
        </is>
      </c>
      <c r="E42" t="n">
        <v>4</v>
      </c>
      <c r="F42" t="n">
        <v>609.28</v>
      </c>
      <c r="G42" t="inlineStr">
        <is>
          <t>PLN</t>
        </is>
      </c>
      <c r="H42" s="13">
        <f>IF(G42="PLN",1,IF(G42="EUR",VLOOKUP(A42,Kursy!$A$4:$C$33,2,FALSE),VLOOKUP(A42,Kursy!$A$4:$C$33,3,FALSE)))</f>
        <v/>
      </c>
      <c r="I42" s="14">
        <f>ROUND(F42*H42,2)</f>
        <v/>
      </c>
      <c r="J42" s="14">
        <f>ROUND(I42*0.5798,2)</f>
        <v/>
      </c>
      <c r="K42" s="14">
        <f>ROUND(I42*0.09,2)</f>
        <v/>
      </c>
      <c r="L42" s="14" t="n">
        <v>1.46</v>
      </c>
      <c r="M42" t="inlineStr">
        <is>
          <t>DPD2062073697</t>
        </is>
      </c>
      <c r="N42" s="14" t="n">
        <v>37.18</v>
      </c>
      <c r="O42" t="inlineStr"/>
      <c r="P42" s="14">
        <f>IF(O42="TAK",-(K42+L42+N42),I42-J42-K42-L42-N42)</f>
        <v/>
      </c>
      <c r="Q42" s="15">
        <f>IF(I42=0,0,P42/I42)</f>
        <v/>
      </c>
    </row>
    <row r="43">
      <c r="A43" t="inlineStr">
        <is>
          <t>2026-06-04</t>
        </is>
      </c>
      <c r="B43" t="inlineStr">
        <is>
          <t>Amazon</t>
        </is>
      </c>
      <c r="C43" t="inlineStr">
        <is>
          <t>IT</t>
        </is>
      </c>
      <c r="D43" t="inlineStr">
        <is>
          <t>KRZ-011</t>
        </is>
      </c>
      <c r="E43" t="n">
        <v>2</v>
      </c>
      <c r="F43" t="n">
        <v>415.72</v>
      </c>
      <c r="G43" t="inlineStr">
        <is>
          <t>EUR</t>
        </is>
      </c>
      <c r="H43" s="13">
        <f>IF(G43="PLN",1,IF(G43="EUR",VLOOKUP(A43,Kursy!$A$4:$C$33,2,FALSE),VLOOKUP(A43,Kursy!$A$4:$C$33,3,FALSE)))</f>
        <v/>
      </c>
      <c r="I43" s="14">
        <f>ROUND(F43*H43,2)</f>
        <v/>
      </c>
      <c r="J43" s="14">
        <f>ROUND(I43*0.4949,2)</f>
        <v/>
      </c>
      <c r="K43" s="14">
        <f>ROUND(I43*0.15,2)</f>
        <v/>
      </c>
      <c r="L43" s="14" t="n">
        <v>19.59</v>
      </c>
      <c r="M43" t="inlineStr">
        <is>
          <t>DPD4518871744</t>
        </is>
      </c>
      <c r="N43" s="14" t="n">
        <v>40.94</v>
      </c>
      <c r="O43" t="inlineStr"/>
      <c r="P43" s="14">
        <f>IF(O43="TAK",-(K43+L43+N43),I43-J43-K43-L43-N43)</f>
        <v/>
      </c>
      <c r="Q43" s="15">
        <f>IF(I43=0,0,P43/I43)</f>
        <v/>
      </c>
    </row>
    <row r="44">
      <c r="A44" t="inlineStr">
        <is>
          <t>2026-06-30</t>
        </is>
      </c>
      <c r="B44" t="inlineStr">
        <is>
          <t>Amazon</t>
        </is>
      </c>
      <c r="C44" t="inlineStr">
        <is>
          <t>FR</t>
        </is>
      </c>
      <c r="D44" t="inlineStr">
        <is>
          <t>LMP-001</t>
        </is>
      </c>
      <c r="E44" t="n">
        <v>3</v>
      </c>
      <c r="F44" t="n">
        <v>700.5599999999999</v>
      </c>
      <c r="G44" t="inlineStr">
        <is>
          <t>EUR</t>
        </is>
      </c>
      <c r="H44" s="13">
        <f>IF(G44="PLN",1,IF(G44="EUR",VLOOKUP(A44,Kursy!$A$4:$C$33,2,FALSE),VLOOKUP(A44,Kursy!$A$4:$C$33,3,FALSE)))</f>
        <v/>
      </c>
      <c r="I44" s="14">
        <f>ROUND(F44*H44,2)</f>
        <v/>
      </c>
      <c r="J44" s="14">
        <f>ROUND(I44*0.5235,2)</f>
        <v/>
      </c>
      <c r="K44" s="14">
        <f>ROUND(I44*0.15,2)</f>
        <v/>
      </c>
      <c r="L44" s="14" t="n">
        <v>20.02</v>
      </c>
      <c r="M44" t="inlineStr">
        <is>
          <t>DHL2043030161</t>
        </is>
      </c>
      <c r="N44" s="14" t="n">
        <v>32.92</v>
      </c>
      <c r="O44" t="inlineStr"/>
      <c r="P44" s="14">
        <f>IF(O44="TAK",-(K44+L44+N44),I44-J44-K44-L44-N44)</f>
        <v/>
      </c>
      <c r="Q44" s="15">
        <f>IF(I44=0,0,P44/I44)</f>
        <v/>
      </c>
    </row>
    <row r="45">
      <c r="A45" t="inlineStr">
        <is>
          <t>2026-06-14</t>
        </is>
      </c>
      <c r="B45" t="inlineStr">
        <is>
          <t>eBay</t>
        </is>
      </c>
      <c r="C45" t="inlineStr">
        <is>
          <t>DE</t>
        </is>
      </c>
      <c r="D45" t="inlineStr">
        <is>
          <t>LMP-002</t>
        </is>
      </c>
      <c r="E45" t="n">
        <v>1</v>
      </c>
      <c r="F45" t="n">
        <v>176.15</v>
      </c>
      <c r="G45" t="inlineStr">
        <is>
          <t>EUR</t>
        </is>
      </c>
      <c r="H45" s="13">
        <f>IF(G45="PLN",1,IF(G45="EUR",VLOOKUP(A45,Kursy!$A$4:$C$33,2,FALSE),VLOOKUP(A45,Kursy!$A$4:$C$33,3,FALSE)))</f>
        <v/>
      </c>
      <c r="I45" s="14">
        <f>ROUND(F45*H45,2)</f>
        <v/>
      </c>
      <c r="J45" s="14">
        <f>ROUND(I45*0.471,2)</f>
        <v/>
      </c>
      <c r="K45" s="14">
        <f>ROUND(I45*0.11,2)</f>
        <v/>
      </c>
      <c r="L45" s="14" t="n">
        <v>18.13</v>
      </c>
      <c r="M45" t="inlineStr">
        <is>
          <t>DHL8943866829</t>
        </is>
      </c>
      <c r="N45" s="14" t="n">
        <v>36.67</v>
      </c>
      <c r="O45" t="inlineStr"/>
      <c r="P45" s="14">
        <f>IF(O45="TAK",-(K45+L45+N45),I45-J45-K45-L45-N45)</f>
        <v/>
      </c>
      <c r="Q45" s="15">
        <f>IF(I45=0,0,P45/I45)</f>
        <v/>
      </c>
    </row>
    <row r="46">
      <c r="A46" t="inlineStr">
        <is>
          <t>2026-06-27</t>
        </is>
      </c>
      <c r="B46" t="inlineStr">
        <is>
          <t>Amazon</t>
        </is>
      </c>
      <c r="C46" t="inlineStr">
        <is>
          <t>FR</t>
        </is>
      </c>
      <c r="D46" t="inlineStr">
        <is>
          <t>POL-330</t>
        </is>
      </c>
      <c r="E46" t="n">
        <v>3</v>
      </c>
      <c r="F46" t="n">
        <v>745.59</v>
      </c>
      <c r="G46" t="inlineStr">
        <is>
          <t>EUR</t>
        </is>
      </c>
      <c r="H46" s="13">
        <f>IF(G46="PLN",1,IF(G46="EUR",VLOOKUP(A46,Kursy!$A$4:$C$33,2,FALSE),VLOOKUP(A46,Kursy!$A$4:$C$33,3,FALSE)))</f>
        <v/>
      </c>
      <c r="I46" s="14">
        <f>ROUND(F46*H46,2)</f>
        <v/>
      </c>
      <c r="J46" s="14">
        <f>ROUND(I46*0.4845,2)</f>
        <v/>
      </c>
      <c r="K46" s="14">
        <f>ROUND(I46*0.15,2)</f>
        <v/>
      </c>
      <c r="L46" s="14" t="n">
        <v>4.93</v>
      </c>
      <c r="M46" t="inlineStr">
        <is>
          <t>DPD8622026979</t>
        </is>
      </c>
      <c r="N46" s="14" t="n">
        <v>25.95</v>
      </c>
      <c r="O46" t="inlineStr"/>
      <c r="P46" s="14">
        <f>IF(O46="TAK",-(K46+L46+N46),I46-J46-K46-L46-N46)</f>
        <v/>
      </c>
      <c r="Q46" s="15">
        <f>IF(I46=0,0,P46/I46)</f>
        <v/>
      </c>
    </row>
    <row r="47">
      <c r="A47" t="inlineStr">
        <is>
          <t>2026-06-03</t>
        </is>
      </c>
      <c r="B47" t="inlineStr">
        <is>
          <t>eBay</t>
        </is>
      </c>
      <c r="C47" t="inlineStr">
        <is>
          <t>DE</t>
        </is>
      </c>
      <c r="D47" t="inlineStr">
        <is>
          <t>DYW-220</t>
        </is>
      </c>
      <c r="E47" t="n">
        <v>2</v>
      </c>
      <c r="F47" t="n">
        <v>595.02</v>
      </c>
      <c r="G47" t="inlineStr">
        <is>
          <t>EUR</t>
        </is>
      </c>
      <c r="H47" s="13">
        <f>IF(G47="PLN",1,IF(G47="EUR",VLOOKUP(A47,Kursy!$A$4:$C$33,2,FALSE),VLOOKUP(A47,Kursy!$A$4:$C$33,3,FALSE)))</f>
        <v/>
      </c>
      <c r="I47" s="14">
        <f>ROUND(F47*H47,2)</f>
        <v/>
      </c>
      <c r="J47" s="14">
        <f>ROUND(I47*0.5321,2)</f>
        <v/>
      </c>
      <c r="K47" s="14">
        <f>ROUND(I47*0.11,2)</f>
        <v/>
      </c>
      <c r="L47" s="14" t="n">
        <v>21.01</v>
      </c>
      <c r="M47" t="inlineStr">
        <is>
          <t>DPD2444812497</t>
        </is>
      </c>
      <c r="N47" s="14" t="n">
        <v>26.83</v>
      </c>
      <c r="O47" t="inlineStr"/>
      <c r="P47" s="14">
        <f>IF(O47="TAK",-(K47+L47+N47),I47-J47-K47-L47-N47)</f>
        <v/>
      </c>
      <c r="Q47" s="15">
        <f>IF(I47=0,0,P47/I47)</f>
        <v/>
      </c>
    </row>
    <row r="48">
      <c r="A48" t="inlineStr">
        <is>
          <t>2026-06-26</t>
        </is>
      </c>
      <c r="B48" t="inlineStr">
        <is>
          <t>eBay</t>
        </is>
      </c>
      <c r="C48" t="inlineStr">
        <is>
          <t>FR</t>
        </is>
      </c>
      <c r="D48" t="inlineStr">
        <is>
          <t>KRZ-010</t>
        </is>
      </c>
      <c r="E48" t="n">
        <v>4</v>
      </c>
      <c r="F48" t="n">
        <v>568.96</v>
      </c>
      <c r="G48" t="inlineStr">
        <is>
          <t>EUR</t>
        </is>
      </c>
      <c r="H48" s="13">
        <f>IF(G48="PLN",1,IF(G48="EUR",VLOOKUP(A48,Kursy!$A$4:$C$33,2,FALSE),VLOOKUP(A48,Kursy!$A$4:$C$33,3,FALSE)))</f>
        <v/>
      </c>
      <c r="I48" s="14">
        <f>ROUND(F48*H48,2)</f>
        <v/>
      </c>
      <c r="J48" s="14">
        <f>ROUND(I48*0.5047,2)</f>
        <v/>
      </c>
      <c r="K48" s="14">
        <f>ROUND(I48*0.11,2)</f>
        <v/>
      </c>
      <c r="L48" s="14" t="n">
        <v>16.69</v>
      </c>
      <c r="M48" t="inlineStr">
        <is>
          <t>DPD3387104291</t>
        </is>
      </c>
      <c r="N48" s="14" t="n">
        <v>27.5</v>
      </c>
      <c r="O48" t="inlineStr"/>
      <c r="P48" s="14">
        <f>IF(O48="TAK",-(K48+L48+N48),I48-J48-K48-L48-N48)</f>
        <v/>
      </c>
      <c r="Q48" s="15">
        <f>IF(I48=0,0,P48/I48)</f>
        <v/>
      </c>
    </row>
    <row r="49">
      <c r="A49" t="inlineStr">
        <is>
          <t>2026-06-16</t>
        </is>
      </c>
      <c r="B49" t="inlineStr">
        <is>
          <t>Amazon</t>
        </is>
      </c>
      <c r="C49" t="inlineStr">
        <is>
          <t>ES</t>
        </is>
      </c>
      <c r="D49" t="inlineStr">
        <is>
          <t>LMP-002</t>
        </is>
      </c>
      <c r="E49" t="n">
        <v>2</v>
      </c>
      <c r="F49" t="n">
        <v>539.48</v>
      </c>
      <c r="G49" t="inlineStr">
        <is>
          <t>EUR</t>
        </is>
      </c>
      <c r="H49" s="13">
        <f>IF(G49="PLN",1,IF(G49="EUR",VLOOKUP(A49,Kursy!$A$4:$C$33,2,FALSE),VLOOKUP(A49,Kursy!$A$4:$C$33,3,FALSE)))</f>
        <v/>
      </c>
      <c r="I49" s="14">
        <f>ROUND(F49*H49,2)</f>
        <v/>
      </c>
      <c r="J49" s="14">
        <f>ROUND(I49*0.4985,2)</f>
        <v/>
      </c>
      <c r="K49" s="14">
        <f>ROUND(I49*0.15,2)</f>
        <v/>
      </c>
      <c r="L49" s="14" t="n">
        <v>13.33</v>
      </c>
      <c r="M49" t="inlineStr">
        <is>
          <t>DPD1074059253</t>
        </is>
      </c>
      <c r="N49" s="14" t="n">
        <v>20.83</v>
      </c>
      <c r="O49" t="inlineStr"/>
      <c r="P49" s="14">
        <f>IF(O49="TAK",-(K49+L49+N49),I49-J49-K49-L49-N49)</f>
        <v/>
      </c>
      <c r="Q49" s="15">
        <f>IF(I49=0,0,P49/I49)</f>
        <v/>
      </c>
    </row>
    <row r="50">
      <c r="A50" t="inlineStr">
        <is>
          <t>2026-06-12</t>
        </is>
      </c>
      <c r="B50" t="inlineStr">
        <is>
          <t>Allegro</t>
        </is>
      </c>
      <c r="C50" t="inlineStr">
        <is>
          <t>PL</t>
        </is>
      </c>
      <c r="D50" t="inlineStr">
        <is>
          <t>KRZ-011</t>
        </is>
      </c>
      <c r="E50" t="n">
        <v>3</v>
      </c>
      <c r="F50" t="n">
        <v>766.95</v>
      </c>
      <c r="G50" t="inlineStr">
        <is>
          <t>PLN</t>
        </is>
      </c>
      <c r="H50" s="13">
        <f>IF(G50="PLN",1,IF(G50="EUR",VLOOKUP(A50,Kursy!$A$4:$C$33,2,FALSE),VLOOKUP(A50,Kursy!$A$4:$C$33,3,FALSE)))</f>
        <v/>
      </c>
      <c r="I50" s="14">
        <f>ROUND(F50*H50,2)</f>
        <v/>
      </c>
      <c r="J50" s="14">
        <f>ROUND(I50*0.5449,2)</f>
        <v/>
      </c>
      <c r="K50" s="14">
        <f>ROUND(I50*0.09,2)</f>
        <v/>
      </c>
      <c r="L50" s="14" t="n">
        <v>11.91</v>
      </c>
      <c r="M50" t="inlineStr">
        <is>
          <t>DPD7243788374</t>
        </is>
      </c>
      <c r="N50" s="14" t="n">
        <v>21.2</v>
      </c>
      <c r="O50" t="inlineStr"/>
      <c r="P50" s="14">
        <f>IF(O50="TAK",-(K50+L50+N50),I50-J50-K50-L50-N50)</f>
        <v/>
      </c>
      <c r="Q50" s="15">
        <f>IF(I50=0,0,P50/I50)</f>
        <v/>
      </c>
    </row>
    <row r="51">
      <c r="A51" t="inlineStr">
        <is>
          <t>2026-06-24</t>
        </is>
      </c>
      <c r="B51" t="inlineStr">
        <is>
          <t>Amazon</t>
        </is>
      </c>
      <c r="C51" t="inlineStr">
        <is>
          <t>ES</t>
        </is>
      </c>
      <c r="D51" t="inlineStr">
        <is>
          <t>LMP-002</t>
        </is>
      </c>
      <c r="E51" t="n">
        <v>2</v>
      </c>
      <c r="F51" t="n">
        <v>336.4</v>
      </c>
      <c r="G51" t="inlineStr">
        <is>
          <t>EUR</t>
        </is>
      </c>
      <c r="H51" s="13">
        <f>IF(G51="PLN",1,IF(G51="EUR",VLOOKUP(A51,Kursy!$A$4:$C$33,2,FALSE),VLOOKUP(A51,Kursy!$A$4:$C$33,3,FALSE)))</f>
        <v/>
      </c>
      <c r="I51" s="14">
        <f>ROUND(F51*H51,2)</f>
        <v/>
      </c>
      <c r="J51" s="14">
        <f>ROUND(I51*0.582,2)</f>
        <v/>
      </c>
      <c r="K51" s="14">
        <f>ROUND(I51*0.15,2)</f>
        <v/>
      </c>
      <c r="L51" s="14" t="n">
        <v>5.18</v>
      </c>
      <c r="M51" t="inlineStr">
        <is>
          <t>DHL8467250120</t>
        </is>
      </c>
      <c r="N51" s="14" t="n">
        <v>20.29</v>
      </c>
      <c r="O51" t="inlineStr"/>
      <c r="P51" s="14">
        <f>IF(O51="TAK",-(K51+L51+N51),I51-J51-K51-L51-N51)</f>
        <v/>
      </c>
      <c r="Q51" s="15">
        <f>IF(I51=0,0,P51/I51)</f>
        <v/>
      </c>
    </row>
    <row r="52">
      <c r="A52" t="inlineStr">
        <is>
          <t>2026-06-10</t>
        </is>
      </c>
      <c r="B52" t="inlineStr">
        <is>
          <t>PrestaShop</t>
        </is>
      </c>
      <c r="C52" t="inlineStr">
        <is>
          <t>PL</t>
        </is>
      </c>
      <c r="D52" t="inlineStr">
        <is>
          <t>STO-100</t>
        </is>
      </c>
      <c r="E52" t="n">
        <v>1</v>
      </c>
      <c r="F52" t="n">
        <v>297.99</v>
      </c>
      <c r="G52" t="inlineStr">
        <is>
          <t>PLN</t>
        </is>
      </c>
      <c r="H52" s="13">
        <f>IF(G52="PLN",1,IF(G52="EUR",VLOOKUP(A52,Kursy!$A$4:$C$33,2,FALSE),VLOOKUP(A52,Kursy!$A$4:$C$33,3,FALSE)))</f>
        <v/>
      </c>
      <c r="I52" s="14">
        <f>ROUND(F52*H52,2)</f>
        <v/>
      </c>
      <c r="J52" s="14">
        <f>ROUND(I52*0.4887,2)</f>
        <v/>
      </c>
      <c r="K52" s="14">
        <f>ROUND(I52*0.0,2)</f>
        <v/>
      </c>
      <c r="L52" s="14" t="n">
        <v>0.4</v>
      </c>
      <c r="M52" t="inlineStr">
        <is>
          <t>DHL2178158203</t>
        </is>
      </c>
      <c r="N52" s="14" t="n">
        <v>41.23</v>
      </c>
      <c r="O52" t="inlineStr"/>
      <c r="P52" s="14">
        <f>IF(O52="TAK",-(K52+L52+N52),I52-J52-K52-L52-N52)</f>
        <v/>
      </c>
      <c r="Q52" s="15">
        <f>IF(I52=0,0,P52/I52)</f>
        <v/>
      </c>
    </row>
    <row r="53">
      <c r="A53" t="inlineStr">
        <is>
          <t>2026-06-25</t>
        </is>
      </c>
      <c r="B53" t="inlineStr">
        <is>
          <t>PrestaShop</t>
        </is>
      </c>
      <c r="C53" t="inlineStr">
        <is>
          <t>PL</t>
        </is>
      </c>
      <c r="D53" t="inlineStr">
        <is>
          <t>STO-100</t>
        </is>
      </c>
      <c r="E53" t="n">
        <v>2</v>
      </c>
      <c r="F53" t="n">
        <v>498.22</v>
      </c>
      <c r="G53" t="inlineStr">
        <is>
          <t>PLN</t>
        </is>
      </c>
      <c r="H53" s="13">
        <f>IF(G53="PLN",1,IF(G53="EUR",VLOOKUP(A53,Kursy!$A$4:$C$33,2,FALSE),VLOOKUP(A53,Kursy!$A$4:$C$33,3,FALSE)))</f>
        <v/>
      </c>
      <c r="I53" s="14">
        <f>ROUND(F53*H53,2)</f>
        <v/>
      </c>
      <c r="J53" s="14">
        <f>ROUND(I53*0.5996,2)</f>
        <v/>
      </c>
      <c r="K53" s="14">
        <f>ROUND(I53*0.0,2)</f>
        <v/>
      </c>
      <c r="L53" s="14" t="n">
        <v>16.07</v>
      </c>
      <c r="M53" t="inlineStr">
        <is>
          <t>DPD7351029162</t>
        </is>
      </c>
      <c r="N53" s="14" t="n">
        <v>22.22</v>
      </c>
      <c r="O53" t="inlineStr"/>
      <c r="P53" s="14">
        <f>IF(O53="TAK",-(K53+L53+N53),I53-J53-K53-L53-N53)</f>
        <v/>
      </c>
      <c r="Q53" s="15">
        <f>IF(I53=0,0,P53/I53)</f>
        <v/>
      </c>
    </row>
    <row r="54">
      <c r="A54" t="inlineStr">
        <is>
          <t>2026-06-03</t>
        </is>
      </c>
      <c r="B54" t="inlineStr">
        <is>
          <t>Amazon</t>
        </is>
      </c>
      <c r="C54" t="inlineStr">
        <is>
          <t>DE</t>
        </is>
      </c>
      <c r="D54" t="inlineStr">
        <is>
          <t>STO-100</t>
        </is>
      </c>
      <c r="E54" t="n">
        <v>4</v>
      </c>
      <c r="F54" t="n">
        <v>470.56</v>
      </c>
      <c r="G54" t="inlineStr">
        <is>
          <t>EUR</t>
        </is>
      </c>
      <c r="H54" s="13">
        <f>IF(G54="PLN",1,IF(G54="EUR",VLOOKUP(A54,Kursy!$A$4:$C$33,2,FALSE),VLOOKUP(A54,Kursy!$A$4:$C$33,3,FALSE)))</f>
        <v/>
      </c>
      <c r="I54" s="14">
        <f>ROUND(F54*H54,2)</f>
        <v/>
      </c>
      <c r="J54" s="14">
        <f>ROUND(I54*0.4719,2)</f>
        <v/>
      </c>
      <c r="K54" s="14">
        <f>ROUND(I54*0.15,2)</f>
        <v/>
      </c>
      <c r="L54" s="14" t="n">
        <v>17.62</v>
      </c>
      <c r="M54" t="inlineStr">
        <is>
          <t>DHL1651662547</t>
        </is>
      </c>
      <c r="N54" s="14" t="n">
        <v>36.33</v>
      </c>
      <c r="O54" t="inlineStr"/>
      <c r="P54" s="14">
        <f>IF(O54="TAK",-(K54+L54+N54),I54-J54-K54-L54-N54)</f>
        <v/>
      </c>
      <c r="Q54" s="15">
        <f>IF(I54=0,0,P54/I54)</f>
        <v/>
      </c>
    </row>
    <row r="55">
      <c r="A55" t="inlineStr">
        <is>
          <t>2026-06-25</t>
        </is>
      </c>
      <c r="B55" t="inlineStr">
        <is>
          <t>eBay</t>
        </is>
      </c>
      <c r="C55" t="inlineStr">
        <is>
          <t>DE</t>
        </is>
      </c>
      <c r="D55" t="inlineStr">
        <is>
          <t>LMP-002</t>
        </is>
      </c>
      <c r="E55" t="n">
        <v>2</v>
      </c>
      <c r="F55" t="n">
        <v>237.46</v>
      </c>
      <c r="G55" t="inlineStr">
        <is>
          <t>EUR</t>
        </is>
      </c>
      <c r="H55" s="13">
        <f>IF(G55="PLN",1,IF(G55="EUR",VLOOKUP(A55,Kursy!$A$4:$C$33,2,FALSE),VLOOKUP(A55,Kursy!$A$4:$C$33,3,FALSE)))</f>
        <v/>
      </c>
      <c r="I55" s="14">
        <f>ROUND(F55*H55,2)</f>
        <v/>
      </c>
      <c r="J55" s="14">
        <f>ROUND(I55*0.5554,2)</f>
        <v/>
      </c>
      <c r="K55" s="14">
        <f>ROUND(I55*0.11,2)</f>
        <v/>
      </c>
      <c r="L55" s="14" t="n">
        <v>17.32</v>
      </c>
      <c r="M55" t="inlineStr">
        <is>
          <t>DPD7196439534</t>
        </is>
      </c>
      <c r="N55" s="14" t="n">
        <v>37.8</v>
      </c>
      <c r="O55" t="inlineStr"/>
      <c r="P55" s="14">
        <f>IF(O55="TAK",-(K55+L55+N55),I55-J55-K55-L55-N55)</f>
        <v/>
      </c>
      <c r="Q55" s="15">
        <f>IF(I55=0,0,P55/I55)</f>
        <v/>
      </c>
    </row>
    <row r="56">
      <c r="A56" t="inlineStr">
        <is>
          <t>2026-06-24</t>
        </is>
      </c>
      <c r="B56" t="inlineStr">
        <is>
          <t>Allegro</t>
        </is>
      </c>
      <c r="C56" t="inlineStr">
        <is>
          <t>PL</t>
        </is>
      </c>
      <c r="D56" t="inlineStr">
        <is>
          <t>STO-100</t>
        </is>
      </c>
      <c r="E56" t="n">
        <v>1</v>
      </c>
      <c r="F56" t="n">
        <v>242.02</v>
      </c>
      <c r="G56" t="inlineStr">
        <is>
          <t>PLN</t>
        </is>
      </c>
      <c r="H56" s="13">
        <f>IF(G56="PLN",1,IF(G56="EUR",VLOOKUP(A56,Kursy!$A$4:$C$33,2,FALSE),VLOOKUP(A56,Kursy!$A$4:$C$33,3,FALSE)))</f>
        <v/>
      </c>
      <c r="I56" s="14">
        <f>ROUND(F56*H56,2)</f>
        <v/>
      </c>
      <c r="J56" s="14">
        <f>ROUND(I56*0.582,2)</f>
        <v/>
      </c>
      <c r="K56" s="14">
        <f>ROUND(I56*0.09,2)</f>
        <v/>
      </c>
      <c r="L56" s="14" t="n">
        <v>17.51</v>
      </c>
      <c r="M56" t="inlineStr">
        <is>
          <t>DPD3836517266</t>
        </is>
      </c>
      <c r="N56" s="14" t="n">
        <v>16.71</v>
      </c>
      <c r="O56" t="inlineStr"/>
      <c r="P56" s="14">
        <f>IF(O56="TAK",-(K56+L56+N56),I56-J56-K56-L56-N56)</f>
        <v/>
      </c>
      <c r="Q56" s="15">
        <f>IF(I56=0,0,P56/I56)</f>
        <v/>
      </c>
    </row>
    <row r="57">
      <c r="A57" t="inlineStr">
        <is>
          <t>2026-06-15</t>
        </is>
      </c>
      <c r="B57" t="inlineStr">
        <is>
          <t>Amazon</t>
        </is>
      </c>
      <c r="C57" t="inlineStr">
        <is>
          <t>IT</t>
        </is>
      </c>
      <c r="D57" t="inlineStr">
        <is>
          <t>LMP-002</t>
        </is>
      </c>
      <c r="E57" t="n">
        <v>2</v>
      </c>
      <c r="F57" t="n">
        <v>179.34</v>
      </c>
      <c r="G57" t="inlineStr">
        <is>
          <t>EUR</t>
        </is>
      </c>
      <c r="H57" s="13">
        <f>IF(G57="PLN",1,IF(G57="EUR",VLOOKUP(A57,Kursy!$A$4:$C$33,2,FALSE),VLOOKUP(A57,Kursy!$A$4:$C$33,3,FALSE)))</f>
        <v/>
      </c>
      <c r="I57" s="14">
        <f>ROUND(F57*H57,2)</f>
        <v/>
      </c>
      <c r="J57" s="14">
        <f>ROUND(I57*0.5352,2)</f>
        <v/>
      </c>
      <c r="K57" s="14">
        <f>ROUND(I57*0.15,2)</f>
        <v/>
      </c>
      <c r="L57" s="14" t="n">
        <v>0.91</v>
      </c>
      <c r="M57" t="inlineStr">
        <is>
          <t>DPD8331319481</t>
        </is>
      </c>
      <c r="N57" s="14" t="n">
        <v>33.09</v>
      </c>
      <c r="O57" t="inlineStr"/>
      <c r="P57" s="14">
        <f>IF(O57="TAK",-(K57+L57+N57),I57-J57-K57-L57-N57)</f>
        <v/>
      </c>
      <c r="Q57" s="15">
        <f>IF(I57=0,0,P57/I57)</f>
        <v/>
      </c>
    </row>
    <row r="58">
      <c r="A58" t="inlineStr">
        <is>
          <t>2026-06-26</t>
        </is>
      </c>
      <c r="B58" t="inlineStr">
        <is>
          <t>Allegro</t>
        </is>
      </c>
      <c r="C58" t="inlineStr">
        <is>
          <t>CZ</t>
        </is>
      </c>
      <c r="D58" t="inlineStr">
        <is>
          <t>LMP-002</t>
        </is>
      </c>
      <c r="E58" t="n">
        <v>2</v>
      </c>
      <c r="F58" t="n">
        <v>641.8</v>
      </c>
      <c r="G58" t="inlineStr">
        <is>
          <t>CZK</t>
        </is>
      </c>
      <c r="H58" s="13">
        <f>IF(G58="PLN",1,IF(G58="EUR",VLOOKUP(A58,Kursy!$A$4:$C$33,2,FALSE),VLOOKUP(A58,Kursy!$A$4:$C$33,3,FALSE)))</f>
        <v/>
      </c>
      <c r="I58" s="14">
        <f>ROUND(F58*H58,2)</f>
        <v/>
      </c>
      <c r="J58" s="14">
        <f>ROUND(I58*0.5544,2)</f>
        <v/>
      </c>
      <c r="K58" s="14">
        <f>ROUND(I58*0.09,2)</f>
        <v/>
      </c>
      <c r="L58" s="14" t="n">
        <v>22.51</v>
      </c>
      <c r="M58" t="inlineStr">
        <is>
          <t>DHL2825957977</t>
        </is>
      </c>
      <c r="N58" s="14" t="n">
        <v>28.34</v>
      </c>
      <c r="O58" t="inlineStr"/>
      <c r="P58" s="14">
        <f>IF(O58="TAK",-(K58+L58+N58),I58-J58-K58-L58-N58)</f>
        <v/>
      </c>
      <c r="Q58" s="15">
        <f>IF(I58=0,0,P58/I58)</f>
        <v/>
      </c>
    </row>
    <row r="59">
      <c r="A59" t="inlineStr">
        <is>
          <t>2026-06-06</t>
        </is>
      </c>
      <c r="B59" t="inlineStr">
        <is>
          <t>Amazon</t>
        </is>
      </c>
      <c r="C59" t="inlineStr">
        <is>
          <t>IT</t>
        </is>
      </c>
      <c r="D59" t="inlineStr">
        <is>
          <t>STO-100</t>
        </is>
      </c>
      <c r="E59" t="n">
        <v>2</v>
      </c>
      <c r="F59" t="n">
        <v>213.84</v>
      </c>
      <c r="G59" t="inlineStr">
        <is>
          <t>EUR</t>
        </is>
      </c>
      <c r="H59" s="13">
        <f>IF(G59="PLN",1,IF(G59="EUR",VLOOKUP(A59,Kursy!$A$4:$C$33,2,FALSE),VLOOKUP(A59,Kursy!$A$4:$C$33,3,FALSE)))</f>
        <v/>
      </c>
      <c r="I59" s="14">
        <f>ROUND(F59*H59,2)</f>
        <v/>
      </c>
      <c r="J59" s="14">
        <f>ROUND(I59*0.5552,2)</f>
        <v/>
      </c>
      <c r="K59" s="14">
        <f>ROUND(I59*0.15,2)</f>
        <v/>
      </c>
      <c r="L59" s="14" t="n">
        <v>23.08</v>
      </c>
      <c r="M59" t="inlineStr">
        <is>
          <t>DPD2886149718</t>
        </is>
      </c>
      <c r="N59" s="14" t="n">
        <v>26.06</v>
      </c>
      <c r="O59" t="inlineStr"/>
      <c r="P59" s="14">
        <f>IF(O59="TAK",-(K59+L59+N59),I59-J59-K59-L59-N59)</f>
        <v/>
      </c>
      <c r="Q59" s="15">
        <f>IF(I59=0,0,P59/I59)</f>
        <v/>
      </c>
    </row>
    <row r="60">
      <c r="A60" t="inlineStr">
        <is>
          <t>2026-06-16</t>
        </is>
      </c>
      <c r="B60" t="inlineStr">
        <is>
          <t>eBay</t>
        </is>
      </c>
      <c r="C60" t="inlineStr">
        <is>
          <t>DE</t>
        </is>
      </c>
      <c r="D60" t="inlineStr">
        <is>
          <t>POL-330</t>
        </is>
      </c>
      <c r="E60" t="n">
        <v>3</v>
      </c>
      <c r="F60" t="n">
        <v>643.86</v>
      </c>
      <c r="G60" t="inlineStr">
        <is>
          <t>EUR</t>
        </is>
      </c>
      <c r="H60" s="13">
        <f>IF(G60="PLN",1,IF(G60="EUR",VLOOKUP(A60,Kursy!$A$4:$C$33,2,FALSE),VLOOKUP(A60,Kursy!$A$4:$C$33,3,FALSE)))</f>
        <v/>
      </c>
      <c r="I60" s="14">
        <f>ROUND(F60*H60,2)</f>
        <v/>
      </c>
      <c r="J60" s="14">
        <f>ROUND(I60*0.5557,2)</f>
        <v/>
      </c>
      <c r="K60" s="14">
        <f>ROUND(I60*0.11,2)</f>
        <v/>
      </c>
      <c r="L60" s="14" t="n">
        <v>24.9</v>
      </c>
      <c r="M60" t="inlineStr">
        <is>
          <t>DPD7887897660</t>
        </is>
      </c>
      <c r="N60" s="14" t="n">
        <v>12.78</v>
      </c>
      <c r="O60" t="inlineStr"/>
      <c r="P60" s="14">
        <f>IF(O60="TAK",-(K60+L60+N60),I60-J60-K60-L60-N60)</f>
        <v/>
      </c>
      <c r="Q60" s="15">
        <f>IF(I60=0,0,P60/I60)</f>
        <v/>
      </c>
    </row>
    <row r="61">
      <c r="A61" t="inlineStr">
        <is>
          <t>2026-06-25</t>
        </is>
      </c>
      <c r="B61" t="inlineStr">
        <is>
          <t>Amazon</t>
        </is>
      </c>
      <c r="C61" t="inlineStr">
        <is>
          <t>ES</t>
        </is>
      </c>
      <c r="D61" t="inlineStr">
        <is>
          <t>LMP-001</t>
        </is>
      </c>
      <c r="E61" t="n">
        <v>3</v>
      </c>
      <c r="F61" t="n">
        <v>700.92</v>
      </c>
      <c r="G61" t="inlineStr">
        <is>
          <t>EUR</t>
        </is>
      </c>
      <c r="H61" s="13">
        <f>IF(G61="PLN",1,IF(G61="EUR",VLOOKUP(A61,Kursy!$A$4:$C$33,2,FALSE),VLOOKUP(A61,Kursy!$A$4:$C$33,3,FALSE)))</f>
        <v/>
      </c>
      <c r="I61" s="14">
        <f>ROUND(F61*H61,2)</f>
        <v/>
      </c>
      <c r="J61" s="14">
        <f>ROUND(I61*0.5353,2)</f>
        <v/>
      </c>
      <c r="K61" s="14">
        <f>ROUND(I61*0.15,2)</f>
        <v/>
      </c>
      <c r="L61" s="14" t="n">
        <v>18.24</v>
      </c>
      <c r="M61" t="inlineStr">
        <is>
          <t>DPD7808938880</t>
        </is>
      </c>
      <c r="N61" s="14" t="n">
        <v>31.04</v>
      </c>
      <c r="O61" t="inlineStr"/>
      <c r="P61" s="14">
        <f>IF(O61="TAK",-(K61+L61+N61),I61-J61-K61-L61-N61)</f>
        <v/>
      </c>
      <c r="Q61" s="15">
        <f>IF(I61=0,0,P61/I61)</f>
        <v/>
      </c>
    </row>
    <row r="62">
      <c r="A62" t="inlineStr">
        <is>
          <t>2026-06-11</t>
        </is>
      </c>
      <c r="B62" t="inlineStr">
        <is>
          <t>Allegro</t>
        </is>
      </c>
      <c r="C62" t="inlineStr">
        <is>
          <t>CZ</t>
        </is>
      </c>
      <c r="D62" t="inlineStr">
        <is>
          <t>LMP-002</t>
        </is>
      </c>
      <c r="E62" t="n">
        <v>4</v>
      </c>
      <c r="F62" t="n">
        <v>705.36</v>
      </c>
      <c r="G62" t="inlineStr">
        <is>
          <t>CZK</t>
        </is>
      </c>
      <c r="H62" s="13">
        <f>IF(G62="PLN",1,IF(G62="EUR",VLOOKUP(A62,Kursy!$A$4:$C$33,2,FALSE),VLOOKUP(A62,Kursy!$A$4:$C$33,3,FALSE)))</f>
        <v/>
      </c>
      <c r="I62" s="14">
        <f>ROUND(F62*H62,2)</f>
        <v/>
      </c>
      <c r="J62" s="14">
        <f>ROUND(I62*0.4767,2)</f>
        <v/>
      </c>
      <c r="K62" s="14">
        <f>ROUND(I62*0.09,2)</f>
        <v/>
      </c>
      <c r="L62" s="14" t="n">
        <v>4.5</v>
      </c>
      <c r="M62" t="inlineStr">
        <is>
          <t>DPD8274273035</t>
        </is>
      </c>
      <c r="N62" s="14" t="n">
        <v>20.65</v>
      </c>
      <c r="O62" t="inlineStr"/>
      <c r="P62" s="14">
        <f>IF(O62="TAK",-(K62+L62+N62),I62-J62-K62-L62-N62)</f>
        <v/>
      </c>
      <c r="Q62" s="15">
        <f>IF(I62=0,0,P62/I62)</f>
        <v/>
      </c>
    </row>
    <row r="63">
      <c r="A63" t="inlineStr">
        <is>
          <t>2026-06-09</t>
        </is>
      </c>
      <c r="B63" t="inlineStr">
        <is>
          <t>Allegro</t>
        </is>
      </c>
      <c r="C63" t="inlineStr">
        <is>
          <t>PL</t>
        </is>
      </c>
      <c r="D63" t="inlineStr">
        <is>
          <t>LMP-001</t>
        </is>
      </c>
      <c r="E63" t="n">
        <v>4</v>
      </c>
      <c r="F63" t="n">
        <v>444.4</v>
      </c>
      <c r="G63" t="inlineStr">
        <is>
          <t>PLN</t>
        </is>
      </c>
      <c r="H63" s="13">
        <f>IF(G63="PLN",1,IF(G63="EUR",VLOOKUP(A63,Kursy!$A$4:$C$33,2,FALSE),VLOOKUP(A63,Kursy!$A$4:$C$33,3,FALSE)))</f>
        <v/>
      </c>
      <c r="I63" s="14">
        <f>ROUND(F63*H63,2)</f>
        <v/>
      </c>
      <c r="J63" s="14">
        <f>ROUND(I63*0.6152,2)</f>
        <v/>
      </c>
      <c r="K63" s="14">
        <f>ROUND(I63*0.09,2)</f>
        <v/>
      </c>
      <c r="L63" s="14" t="n">
        <v>11.32</v>
      </c>
      <c r="M63" t="inlineStr">
        <is>
          <t>DHL7625389037</t>
        </is>
      </c>
      <c r="N63" s="14" t="n">
        <v>24.4</v>
      </c>
      <c r="O63" t="inlineStr"/>
      <c r="P63" s="14">
        <f>IF(O63="TAK",-(K63+L63+N63),I63-J63-K63-L63-N63)</f>
        <v/>
      </c>
      <c r="Q63" s="15">
        <f>IF(I63=0,0,P63/I63)</f>
        <v/>
      </c>
    </row>
    <row r="64">
      <c r="A64" t="inlineStr">
        <is>
          <t>2026-06-25</t>
        </is>
      </c>
      <c r="B64" t="inlineStr">
        <is>
          <t>Amazon</t>
        </is>
      </c>
      <c r="C64" t="inlineStr">
        <is>
          <t>ES</t>
        </is>
      </c>
      <c r="D64" t="inlineStr">
        <is>
          <t>DYW-220</t>
        </is>
      </c>
      <c r="E64" t="n">
        <v>4</v>
      </c>
      <c r="F64" t="n">
        <v>983.92</v>
      </c>
      <c r="G64" t="inlineStr">
        <is>
          <t>EUR</t>
        </is>
      </c>
      <c r="H64" s="13">
        <f>IF(G64="PLN",1,IF(G64="EUR",VLOOKUP(A64,Kursy!$A$4:$C$33,2,FALSE),VLOOKUP(A64,Kursy!$A$4:$C$33,3,FALSE)))</f>
        <v/>
      </c>
      <c r="I64" s="14">
        <f>ROUND(F64*H64,2)</f>
        <v/>
      </c>
      <c r="J64" s="14">
        <f>ROUND(I64*0.5027,2)</f>
        <v/>
      </c>
      <c r="K64" s="14">
        <f>ROUND(I64*0.15,2)</f>
        <v/>
      </c>
      <c r="L64" s="14" t="n">
        <v>3.67</v>
      </c>
      <c r="M64" t="inlineStr">
        <is>
          <t>DPD8293928340</t>
        </is>
      </c>
      <c r="N64" s="14" t="n">
        <v>15.64</v>
      </c>
      <c r="O64" t="inlineStr">
        <is>
          <t>TAK</t>
        </is>
      </c>
      <c r="P64" s="14">
        <f>IF(O64="TAK",-(K64+L64+N64),I64-J64-K64-L64-N64)</f>
        <v/>
      </c>
      <c r="Q64" s="15">
        <f>IF(I64=0,0,P64/I64)</f>
        <v/>
      </c>
    </row>
    <row r="65">
      <c r="A65" t="inlineStr">
        <is>
          <t>2026-06-18</t>
        </is>
      </c>
      <c r="B65" t="inlineStr">
        <is>
          <t>Amazon</t>
        </is>
      </c>
      <c r="C65" t="inlineStr">
        <is>
          <t>ES</t>
        </is>
      </c>
      <c r="D65" t="inlineStr">
        <is>
          <t>KRZ-010</t>
        </is>
      </c>
      <c r="E65" t="n">
        <v>3</v>
      </c>
      <c r="F65" t="n">
        <v>681.78</v>
      </c>
      <c r="G65" t="inlineStr">
        <is>
          <t>EUR</t>
        </is>
      </c>
      <c r="H65" s="13">
        <f>IF(G65="PLN",1,IF(G65="EUR",VLOOKUP(A65,Kursy!$A$4:$C$33,2,FALSE),VLOOKUP(A65,Kursy!$A$4:$C$33,3,FALSE)))</f>
        <v/>
      </c>
      <c r="I65" s="14">
        <f>ROUND(F65*H65,2)</f>
        <v/>
      </c>
      <c r="J65" s="14">
        <f>ROUND(I65*0.496,2)</f>
        <v/>
      </c>
      <c r="K65" s="14">
        <f>ROUND(I65*0.15,2)</f>
        <v/>
      </c>
      <c r="L65" s="14" t="n">
        <v>23.56</v>
      </c>
      <c r="M65" t="inlineStr">
        <is>
          <t>DHL4574027737</t>
        </is>
      </c>
      <c r="N65" s="14" t="n">
        <v>26.95</v>
      </c>
      <c r="O65" t="inlineStr"/>
      <c r="P65" s="14">
        <f>IF(O65="TAK",-(K65+L65+N65),I65-J65-K65-L65-N65)</f>
        <v/>
      </c>
      <c r="Q65" s="15">
        <f>IF(I65=0,0,P65/I65)</f>
        <v/>
      </c>
    </row>
    <row r="66">
      <c r="A66" t="inlineStr">
        <is>
          <t>2026-06-16</t>
        </is>
      </c>
      <c r="B66" t="inlineStr">
        <is>
          <t>eBay</t>
        </is>
      </c>
      <c r="C66" t="inlineStr">
        <is>
          <t>DE</t>
        </is>
      </c>
      <c r="D66" t="inlineStr">
        <is>
          <t>STO-100</t>
        </is>
      </c>
      <c r="E66" t="n">
        <v>4</v>
      </c>
      <c r="F66" t="n">
        <v>1194.08</v>
      </c>
      <c r="G66" t="inlineStr">
        <is>
          <t>EUR</t>
        </is>
      </c>
      <c r="H66" s="13">
        <f>IF(G66="PLN",1,IF(G66="EUR",VLOOKUP(A66,Kursy!$A$4:$C$33,2,FALSE),VLOOKUP(A66,Kursy!$A$4:$C$33,3,FALSE)))</f>
        <v/>
      </c>
      <c r="I66" s="14">
        <f>ROUND(F66*H66,2)</f>
        <v/>
      </c>
      <c r="J66" s="14">
        <f>ROUND(I66*0.5482,2)</f>
        <v/>
      </c>
      <c r="K66" s="14">
        <f>ROUND(I66*0.11,2)</f>
        <v/>
      </c>
      <c r="L66" s="14" t="n">
        <v>10.74</v>
      </c>
      <c r="M66" t="inlineStr">
        <is>
          <t>DHL4710967433</t>
        </is>
      </c>
      <c r="N66" s="14" t="n">
        <v>20.29</v>
      </c>
      <c r="O66" t="inlineStr"/>
      <c r="P66" s="14">
        <f>IF(O66="TAK",-(K66+L66+N66),I66-J66-K66-L66-N66)</f>
        <v/>
      </c>
      <c r="Q66" s="15">
        <f>IF(I66=0,0,P66/I66)</f>
        <v/>
      </c>
    </row>
    <row r="67">
      <c r="A67" t="inlineStr">
        <is>
          <t>2026-06-10</t>
        </is>
      </c>
      <c r="B67" t="inlineStr">
        <is>
          <t>Allegro</t>
        </is>
      </c>
      <c r="C67" t="inlineStr">
        <is>
          <t>PL</t>
        </is>
      </c>
      <c r="D67" t="inlineStr">
        <is>
          <t>DYW-220</t>
        </is>
      </c>
      <c r="E67" t="n">
        <v>3</v>
      </c>
      <c r="F67" t="n">
        <v>884.88</v>
      </c>
      <c r="G67" t="inlineStr">
        <is>
          <t>PLN</t>
        </is>
      </c>
      <c r="H67" s="13">
        <f>IF(G67="PLN",1,IF(G67="EUR",VLOOKUP(A67,Kursy!$A$4:$C$33,2,FALSE),VLOOKUP(A67,Kursy!$A$4:$C$33,3,FALSE)))</f>
        <v/>
      </c>
      <c r="I67" s="14">
        <f>ROUND(F67*H67,2)</f>
        <v/>
      </c>
      <c r="J67" s="14">
        <f>ROUND(I67*0.594,2)</f>
        <v/>
      </c>
      <c r="K67" s="14">
        <f>ROUND(I67*0.09,2)</f>
        <v/>
      </c>
      <c r="L67" s="14" t="n">
        <v>16.24</v>
      </c>
      <c r="M67" t="inlineStr">
        <is>
          <t>DPD4716265973</t>
        </is>
      </c>
      <c r="N67" s="14" t="n">
        <v>25.4</v>
      </c>
      <c r="O67" t="inlineStr"/>
      <c r="P67" s="14">
        <f>IF(O67="TAK",-(K67+L67+N67),I67-J67-K67-L67-N67)</f>
        <v/>
      </c>
      <c r="Q67" s="15">
        <f>IF(I67=0,0,P67/I67)</f>
        <v/>
      </c>
    </row>
    <row r="68">
      <c r="A68" t="inlineStr">
        <is>
          <t>2026-06-18</t>
        </is>
      </c>
      <c r="B68" t="inlineStr">
        <is>
          <t>Allegro</t>
        </is>
      </c>
      <c r="C68" t="inlineStr">
        <is>
          <t>CZ</t>
        </is>
      </c>
      <c r="D68" t="inlineStr">
        <is>
          <t>DYW-220</t>
        </is>
      </c>
      <c r="E68" t="n">
        <v>3</v>
      </c>
      <c r="F68" t="n">
        <v>682.59</v>
      </c>
      <c r="G68" t="inlineStr">
        <is>
          <t>CZK</t>
        </is>
      </c>
      <c r="H68" s="13">
        <f>IF(G68="PLN",1,IF(G68="EUR",VLOOKUP(A68,Kursy!$A$4:$C$33,2,FALSE),VLOOKUP(A68,Kursy!$A$4:$C$33,3,FALSE)))</f>
        <v/>
      </c>
      <c r="I68" s="14">
        <f>ROUND(F68*H68,2)</f>
        <v/>
      </c>
      <c r="J68" s="14">
        <f>ROUND(I68*0.6093,2)</f>
        <v/>
      </c>
      <c r="K68" s="14">
        <f>ROUND(I68*0.09,2)</f>
        <v/>
      </c>
      <c r="L68" s="14" t="n">
        <v>24.35</v>
      </c>
      <c r="M68" t="inlineStr">
        <is>
          <t>DHL7750819485</t>
        </is>
      </c>
      <c r="N68" s="14" t="n">
        <v>19.01</v>
      </c>
      <c r="O68" t="inlineStr"/>
      <c r="P68" s="14">
        <f>IF(O68="TAK",-(K68+L68+N68),I68-J68-K68-L68-N68)</f>
        <v/>
      </c>
      <c r="Q68" s="15">
        <f>IF(I68=0,0,P68/I68)</f>
        <v/>
      </c>
    </row>
    <row r="69">
      <c r="A69" t="inlineStr">
        <is>
          <t>2026-06-23</t>
        </is>
      </c>
      <c r="B69" t="inlineStr">
        <is>
          <t>Allegro</t>
        </is>
      </c>
      <c r="C69" t="inlineStr">
        <is>
          <t>PL</t>
        </is>
      </c>
      <c r="D69" t="inlineStr">
        <is>
          <t>LMP-001</t>
        </is>
      </c>
      <c r="E69" t="n">
        <v>3</v>
      </c>
      <c r="F69" t="n">
        <v>827.76</v>
      </c>
      <c r="G69" t="inlineStr">
        <is>
          <t>PLN</t>
        </is>
      </c>
      <c r="H69" s="13">
        <f>IF(G69="PLN",1,IF(G69="EUR",VLOOKUP(A69,Kursy!$A$4:$C$33,2,FALSE),VLOOKUP(A69,Kursy!$A$4:$C$33,3,FALSE)))</f>
        <v/>
      </c>
      <c r="I69" s="14">
        <f>ROUND(F69*H69,2)</f>
        <v/>
      </c>
      <c r="J69" s="14">
        <f>ROUND(I69*0.521,2)</f>
        <v/>
      </c>
      <c r="K69" s="14">
        <f>ROUND(I69*0.09,2)</f>
        <v/>
      </c>
      <c r="L69" s="14" t="n">
        <v>27.68</v>
      </c>
      <c r="M69" t="inlineStr">
        <is>
          <t>DHL1158998032</t>
        </is>
      </c>
      <c r="N69" s="14" t="n">
        <v>27.07</v>
      </c>
      <c r="O69" t="inlineStr"/>
      <c r="P69" s="14">
        <f>IF(O69="TAK",-(K69+L69+N69),I69-J69-K69-L69-N69)</f>
        <v/>
      </c>
      <c r="Q69" s="15">
        <f>IF(I69=0,0,P69/I69)</f>
        <v/>
      </c>
    </row>
    <row r="70">
      <c r="A70" t="inlineStr">
        <is>
          <t>2026-06-30</t>
        </is>
      </c>
      <c r="B70" t="inlineStr">
        <is>
          <t>eBay</t>
        </is>
      </c>
      <c r="C70" t="inlineStr">
        <is>
          <t>FR</t>
        </is>
      </c>
      <c r="D70" t="inlineStr">
        <is>
          <t>LMP-002</t>
        </is>
      </c>
      <c r="E70" t="n">
        <v>4</v>
      </c>
      <c r="F70" t="n">
        <v>456.12</v>
      </c>
      <c r="G70" t="inlineStr">
        <is>
          <t>EUR</t>
        </is>
      </c>
      <c r="H70" s="13">
        <f>IF(G70="PLN",1,IF(G70="EUR",VLOOKUP(A70,Kursy!$A$4:$C$33,2,FALSE),VLOOKUP(A70,Kursy!$A$4:$C$33,3,FALSE)))</f>
        <v/>
      </c>
      <c r="I70" s="14">
        <f>ROUND(F70*H70,2)</f>
        <v/>
      </c>
      <c r="J70" s="14">
        <f>ROUND(I70*0.5756,2)</f>
        <v/>
      </c>
      <c r="K70" s="14">
        <f>ROUND(I70*0.11,2)</f>
        <v/>
      </c>
      <c r="L70" s="14" t="n">
        <v>11.48</v>
      </c>
      <c r="M70" t="inlineStr">
        <is>
          <t>DHL5616352188</t>
        </is>
      </c>
      <c r="N70" s="14" t="n">
        <v>35.45</v>
      </c>
      <c r="O70" t="inlineStr"/>
      <c r="P70" s="14">
        <f>IF(O70="TAK",-(K70+L70+N70),I70-J70-K70-L70-N70)</f>
        <v/>
      </c>
      <c r="Q70" s="15">
        <f>IF(I70=0,0,P70/I70)</f>
        <v/>
      </c>
    </row>
    <row r="71">
      <c r="A71" t="inlineStr">
        <is>
          <t>2026-06-28</t>
        </is>
      </c>
      <c r="B71" t="inlineStr">
        <is>
          <t>eBay</t>
        </is>
      </c>
      <c r="C71" t="inlineStr">
        <is>
          <t>DE</t>
        </is>
      </c>
      <c r="D71" t="inlineStr">
        <is>
          <t>DYW-220</t>
        </is>
      </c>
      <c r="E71" t="n">
        <v>4</v>
      </c>
      <c r="F71" t="n">
        <v>1008.44</v>
      </c>
      <c r="G71" t="inlineStr">
        <is>
          <t>EUR</t>
        </is>
      </c>
      <c r="H71" s="13">
        <f>IF(G71="PLN",1,IF(G71="EUR",VLOOKUP(A71,Kursy!$A$4:$C$33,2,FALSE),VLOOKUP(A71,Kursy!$A$4:$C$33,3,FALSE)))</f>
        <v/>
      </c>
      <c r="I71" s="14">
        <f>ROUND(F71*H71,2)</f>
        <v/>
      </c>
      <c r="J71" s="14">
        <f>ROUND(I71*0.5679,2)</f>
        <v/>
      </c>
      <c r="K71" s="14">
        <f>ROUND(I71*0.11,2)</f>
        <v/>
      </c>
      <c r="L71" s="14" t="n">
        <v>14.94</v>
      </c>
      <c r="M71" t="inlineStr">
        <is>
          <t>DPD3323646093</t>
        </is>
      </c>
      <c r="N71" s="14" t="n">
        <v>30.52</v>
      </c>
      <c r="O71" t="inlineStr"/>
      <c r="P71" s="14">
        <f>IF(O71="TAK",-(K71+L71+N71),I71-J71-K71-L71-N71)</f>
        <v/>
      </c>
      <c r="Q71" s="15">
        <f>IF(I71=0,0,P71/I71)</f>
        <v/>
      </c>
    </row>
    <row r="72">
      <c r="A72" t="inlineStr">
        <is>
          <t>2026-06-14</t>
        </is>
      </c>
      <c r="B72" t="inlineStr">
        <is>
          <t>Amazon</t>
        </is>
      </c>
      <c r="C72" t="inlineStr">
        <is>
          <t>ES</t>
        </is>
      </c>
      <c r="D72" t="inlineStr">
        <is>
          <t>STO-100</t>
        </is>
      </c>
      <c r="E72" t="n">
        <v>2</v>
      </c>
      <c r="F72" t="n">
        <v>552.88</v>
      </c>
      <c r="G72" t="inlineStr">
        <is>
          <t>EUR</t>
        </is>
      </c>
      <c r="H72" s="13">
        <f>IF(G72="PLN",1,IF(G72="EUR",VLOOKUP(A72,Kursy!$A$4:$C$33,2,FALSE),VLOOKUP(A72,Kursy!$A$4:$C$33,3,FALSE)))</f>
        <v/>
      </c>
      <c r="I72" s="14">
        <f>ROUND(F72*H72,2)</f>
        <v/>
      </c>
      <c r="J72" s="14">
        <f>ROUND(I72*0.5817,2)</f>
        <v/>
      </c>
      <c r="K72" s="14">
        <f>ROUND(I72*0.15,2)</f>
        <v/>
      </c>
      <c r="L72" s="14" t="n">
        <v>19.71</v>
      </c>
      <c r="M72" t="inlineStr">
        <is>
          <t>DHL2905584866</t>
        </is>
      </c>
      <c r="N72" s="14" t="n">
        <v>32.82</v>
      </c>
      <c r="O72" t="inlineStr"/>
      <c r="P72" s="14">
        <f>IF(O72="TAK",-(K72+L72+N72),I72-J72-K72-L72-N72)</f>
        <v/>
      </c>
      <c r="Q72" s="15">
        <f>IF(I72=0,0,P72/I72)</f>
        <v/>
      </c>
    </row>
    <row r="73">
      <c r="A73" t="inlineStr">
        <is>
          <t>2026-06-10</t>
        </is>
      </c>
      <c r="B73" t="inlineStr">
        <is>
          <t>Amazon</t>
        </is>
      </c>
      <c r="C73" t="inlineStr">
        <is>
          <t>DE</t>
        </is>
      </c>
      <c r="D73" t="inlineStr">
        <is>
          <t>LMP-001</t>
        </is>
      </c>
      <c r="E73" t="n">
        <v>3</v>
      </c>
      <c r="F73" t="n">
        <v>866.49</v>
      </c>
      <c r="G73" t="inlineStr">
        <is>
          <t>EUR</t>
        </is>
      </c>
      <c r="H73" s="13">
        <f>IF(G73="PLN",1,IF(G73="EUR",VLOOKUP(A73,Kursy!$A$4:$C$33,2,FALSE),VLOOKUP(A73,Kursy!$A$4:$C$33,3,FALSE)))</f>
        <v/>
      </c>
      <c r="I73" s="14">
        <f>ROUND(F73*H73,2)</f>
        <v/>
      </c>
      <c r="J73" s="14">
        <f>ROUND(I73*0.5289,2)</f>
        <v/>
      </c>
      <c r="K73" s="14">
        <f>ROUND(I73*0.15,2)</f>
        <v/>
      </c>
      <c r="L73" s="14" t="n">
        <v>6.84</v>
      </c>
      <c r="M73" t="inlineStr">
        <is>
          <t>DPD4403845222</t>
        </is>
      </c>
      <c r="N73" s="14" t="n">
        <v>17.1</v>
      </c>
      <c r="O73" t="inlineStr"/>
      <c r="P73" s="14">
        <f>IF(O73="TAK",-(K73+L73+N73),I73-J73-K73-L73-N73)</f>
        <v/>
      </c>
      <c r="Q73" s="15">
        <f>IF(I73=0,0,P73/I73)</f>
        <v/>
      </c>
    </row>
    <row r="74">
      <c r="A74" t="inlineStr">
        <is>
          <t>2026-06-19</t>
        </is>
      </c>
      <c r="B74" t="inlineStr">
        <is>
          <t>Amazon</t>
        </is>
      </c>
      <c r="C74" t="inlineStr">
        <is>
          <t>FR</t>
        </is>
      </c>
      <c r="D74" t="inlineStr">
        <is>
          <t>POL-330</t>
        </is>
      </c>
      <c r="E74" t="n">
        <v>2</v>
      </c>
      <c r="F74" t="n">
        <v>427.82</v>
      </c>
      <c r="G74" t="inlineStr">
        <is>
          <t>EUR</t>
        </is>
      </c>
      <c r="H74" s="13">
        <f>IF(G74="PLN",1,IF(G74="EUR",VLOOKUP(A74,Kursy!$A$4:$C$33,2,FALSE),VLOOKUP(A74,Kursy!$A$4:$C$33,3,FALSE)))</f>
        <v/>
      </c>
      <c r="I74" s="14">
        <f>ROUND(F74*H74,2)</f>
        <v/>
      </c>
      <c r="J74" s="14">
        <f>ROUND(I74*0.5338,2)</f>
        <v/>
      </c>
      <c r="K74" s="14">
        <f>ROUND(I74*0.15,2)</f>
        <v/>
      </c>
      <c r="L74" s="14" t="n">
        <v>7.11</v>
      </c>
      <c r="M74" t="inlineStr">
        <is>
          <t>DPD3864059081</t>
        </is>
      </c>
      <c r="N74" s="14" t="n">
        <v>38.97</v>
      </c>
      <c r="O74" t="inlineStr"/>
      <c r="P74" s="14">
        <f>IF(O74="TAK",-(K74+L74+N74),I74-J74-K74-L74-N74)</f>
        <v/>
      </c>
      <c r="Q74" s="15">
        <f>IF(I74=0,0,P74/I74)</f>
        <v/>
      </c>
    </row>
    <row r="75">
      <c r="A75" t="inlineStr">
        <is>
          <t>2026-06-12</t>
        </is>
      </c>
      <c r="B75" t="inlineStr">
        <is>
          <t>Allegro</t>
        </is>
      </c>
      <c r="C75" t="inlineStr">
        <is>
          <t>CZ</t>
        </is>
      </c>
      <c r="D75" t="inlineStr">
        <is>
          <t>STO-100</t>
        </is>
      </c>
      <c r="E75" t="n">
        <v>2</v>
      </c>
      <c r="F75" t="n">
        <v>215.08</v>
      </c>
      <c r="G75" t="inlineStr">
        <is>
          <t>CZK</t>
        </is>
      </c>
      <c r="H75" s="13">
        <f>IF(G75="PLN",1,IF(G75="EUR",VLOOKUP(A75,Kursy!$A$4:$C$33,2,FALSE),VLOOKUP(A75,Kursy!$A$4:$C$33,3,FALSE)))</f>
        <v/>
      </c>
      <c r="I75" s="14">
        <f>ROUND(F75*H75,2)</f>
        <v/>
      </c>
      <c r="J75" s="14">
        <f>ROUND(I75*0.5079,2)</f>
        <v/>
      </c>
      <c r="K75" s="14">
        <f>ROUND(I75*0.09,2)</f>
        <v/>
      </c>
      <c r="L75" s="14" t="n">
        <v>26.94</v>
      </c>
      <c r="M75" t="inlineStr">
        <is>
          <t>DPD2297602688</t>
        </is>
      </c>
      <c r="N75" s="14" t="n">
        <v>41.98</v>
      </c>
      <c r="O75" t="inlineStr"/>
      <c r="P75" s="14">
        <f>IF(O75="TAK",-(K75+L75+N75),I75-J75-K75-L75-N75)</f>
        <v/>
      </c>
      <c r="Q75" s="15">
        <f>IF(I75=0,0,P75/I75)</f>
        <v/>
      </c>
    </row>
    <row r="76">
      <c r="A76" t="inlineStr">
        <is>
          <t>2026-06-12</t>
        </is>
      </c>
      <c r="B76" t="inlineStr">
        <is>
          <t>Allegro</t>
        </is>
      </c>
      <c r="C76" t="inlineStr">
        <is>
          <t>CZ</t>
        </is>
      </c>
      <c r="D76" t="inlineStr">
        <is>
          <t>LMP-002</t>
        </is>
      </c>
      <c r="E76" t="n">
        <v>2</v>
      </c>
      <c r="F76" t="n">
        <v>369.44</v>
      </c>
      <c r="G76" t="inlineStr">
        <is>
          <t>CZK</t>
        </is>
      </c>
      <c r="H76" s="13">
        <f>IF(G76="PLN",1,IF(G76="EUR",VLOOKUP(A76,Kursy!$A$4:$C$33,2,FALSE),VLOOKUP(A76,Kursy!$A$4:$C$33,3,FALSE)))</f>
        <v/>
      </c>
      <c r="I76" s="14">
        <f>ROUND(F76*H76,2)</f>
        <v/>
      </c>
      <c r="J76" s="14">
        <f>ROUND(I76*0.6188,2)</f>
        <v/>
      </c>
      <c r="K76" s="14">
        <f>ROUND(I76*0.09,2)</f>
        <v/>
      </c>
      <c r="L76" s="14" t="n">
        <v>8.27</v>
      </c>
      <c r="M76" t="inlineStr">
        <is>
          <t>DPD2178884276</t>
        </is>
      </c>
      <c r="N76" s="14" t="n">
        <v>28.98</v>
      </c>
      <c r="O76" t="inlineStr"/>
      <c r="P76" s="14">
        <f>IF(O76="TAK",-(K76+L76+N76),I76-J76-K76-L76-N76)</f>
        <v/>
      </c>
      <c r="Q76" s="15">
        <f>IF(I76=0,0,P76/I76)</f>
        <v/>
      </c>
    </row>
    <row r="77">
      <c r="A77" t="inlineStr">
        <is>
          <t>2026-06-08</t>
        </is>
      </c>
      <c r="B77" t="inlineStr">
        <is>
          <t>Amazon</t>
        </is>
      </c>
      <c r="C77" t="inlineStr">
        <is>
          <t>DE</t>
        </is>
      </c>
      <c r="D77" t="inlineStr">
        <is>
          <t>ZEG-440</t>
        </is>
      </c>
      <c r="E77" t="n">
        <v>3</v>
      </c>
      <c r="F77" t="n">
        <v>851.13</v>
      </c>
      <c r="G77" t="inlineStr">
        <is>
          <t>EUR</t>
        </is>
      </c>
      <c r="H77" s="13">
        <f>IF(G77="PLN",1,IF(G77="EUR",VLOOKUP(A77,Kursy!$A$4:$C$33,2,FALSE),VLOOKUP(A77,Kursy!$A$4:$C$33,3,FALSE)))</f>
        <v/>
      </c>
      <c r="I77" s="14">
        <f>ROUND(F77*H77,2)</f>
        <v/>
      </c>
      <c r="J77" s="14">
        <f>ROUND(I77*0.5164,2)</f>
        <v/>
      </c>
      <c r="K77" s="14">
        <f>ROUND(I77*0.15,2)</f>
        <v/>
      </c>
      <c r="L77" s="14" t="n">
        <v>17.83</v>
      </c>
      <c r="M77" t="inlineStr">
        <is>
          <t>DPD4600630513</t>
        </is>
      </c>
      <c r="N77" s="14" t="n">
        <v>30.85</v>
      </c>
      <c r="O77" t="inlineStr"/>
      <c r="P77" s="14">
        <f>IF(O77="TAK",-(K77+L77+N77),I77-J77-K77-L77-N77)</f>
        <v/>
      </c>
      <c r="Q77" s="15">
        <f>IF(I77=0,0,P77/I77)</f>
        <v/>
      </c>
    </row>
    <row r="78">
      <c r="A78" t="inlineStr">
        <is>
          <t>2026-06-12</t>
        </is>
      </c>
      <c r="B78" t="inlineStr">
        <is>
          <t>Amazon</t>
        </is>
      </c>
      <c r="C78" t="inlineStr">
        <is>
          <t>DE</t>
        </is>
      </c>
      <c r="D78" t="inlineStr">
        <is>
          <t>STO-100</t>
        </is>
      </c>
      <c r="E78" t="n">
        <v>4</v>
      </c>
      <c r="F78" t="n">
        <v>389.48</v>
      </c>
      <c r="G78" t="inlineStr">
        <is>
          <t>EUR</t>
        </is>
      </c>
      <c r="H78" s="13">
        <f>IF(G78="PLN",1,IF(G78="EUR",VLOOKUP(A78,Kursy!$A$4:$C$33,2,FALSE),VLOOKUP(A78,Kursy!$A$4:$C$33,3,FALSE)))</f>
        <v/>
      </c>
      <c r="I78" s="14">
        <f>ROUND(F78*H78,2)</f>
        <v/>
      </c>
      <c r="J78" s="14">
        <f>ROUND(I78*0.4744,2)</f>
        <v/>
      </c>
      <c r="K78" s="14">
        <f>ROUND(I78*0.15,2)</f>
        <v/>
      </c>
      <c r="L78" s="14" t="n">
        <v>8.26</v>
      </c>
      <c r="M78" t="inlineStr">
        <is>
          <t>DPD1754368373</t>
        </is>
      </c>
      <c r="N78" s="14" t="n">
        <v>15.96</v>
      </c>
      <c r="O78" t="inlineStr"/>
      <c r="P78" s="14">
        <f>IF(O78="TAK",-(K78+L78+N78),I78-J78-K78-L78-N78)</f>
        <v/>
      </c>
      <c r="Q78" s="15">
        <f>IF(I78=0,0,P78/I78)</f>
        <v/>
      </c>
    </row>
    <row r="79">
      <c r="A79" t="inlineStr">
        <is>
          <t>2026-06-09</t>
        </is>
      </c>
      <c r="B79" t="inlineStr">
        <is>
          <t>PrestaShop</t>
        </is>
      </c>
      <c r="C79" t="inlineStr">
        <is>
          <t>PL</t>
        </is>
      </c>
      <c r="D79" t="inlineStr">
        <is>
          <t>DYW-220</t>
        </is>
      </c>
      <c r="E79" t="n">
        <v>3</v>
      </c>
      <c r="F79" t="n">
        <v>892.35</v>
      </c>
      <c r="G79" t="inlineStr">
        <is>
          <t>PLN</t>
        </is>
      </c>
      <c r="H79" s="13">
        <f>IF(G79="PLN",1,IF(G79="EUR",VLOOKUP(A79,Kursy!$A$4:$C$33,2,FALSE),VLOOKUP(A79,Kursy!$A$4:$C$33,3,FALSE)))</f>
        <v/>
      </c>
      <c r="I79" s="14">
        <f>ROUND(F79*H79,2)</f>
        <v/>
      </c>
      <c r="J79" s="14">
        <f>ROUND(I79*0.6111,2)</f>
        <v/>
      </c>
      <c r="K79" s="14">
        <f>ROUND(I79*0.0,2)</f>
        <v/>
      </c>
      <c r="L79" s="14" t="n">
        <v>27.09</v>
      </c>
      <c r="M79" t="inlineStr">
        <is>
          <t>DPD5789617427</t>
        </is>
      </c>
      <c r="N79" s="14" t="n">
        <v>40.89</v>
      </c>
      <c r="O79" t="inlineStr"/>
      <c r="P79" s="14">
        <f>IF(O79="TAK",-(K79+L79+N79),I79-J79-K79-L79-N79)</f>
        <v/>
      </c>
      <c r="Q79" s="15">
        <f>IF(I79=0,0,P79/I79)</f>
        <v/>
      </c>
    </row>
    <row r="80">
      <c r="A80" t="inlineStr">
        <is>
          <t>2026-06-26</t>
        </is>
      </c>
      <c r="B80" t="inlineStr">
        <is>
          <t>Amazon</t>
        </is>
      </c>
      <c r="C80" t="inlineStr">
        <is>
          <t>IT</t>
        </is>
      </c>
      <c r="D80" t="inlineStr">
        <is>
          <t>KRZ-011</t>
        </is>
      </c>
      <c r="E80" t="n">
        <v>4</v>
      </c>
      <c r="F80" t="n">
        <v>1327.12</v>
      </c>
      <c r="G80" t="inlineStr">
        <is>
          <t>EUR</t>
        </is>
      </c>
      <c r="H80" s="13">
        <f>IF(G80="PLN",1,IF(G80="EUR",VLOOKUP(A80,Kursy!$A$4:$C$33,2,FALSE),VLOOKUP(A80,Kursy!$A$4:$C$33,3,FALSE)))</f>
        <v/>
      </c>
      <c r="I80" s="14">
        <f>ROUND(F80*H80,2)</f>
        <v/>
      </c>
      <c r="J80" s="14">
        <f>ROUND(I80*0.4744,2)</f>
        <v/>
      </c>
      <c r="K80" s="14">
        <f>ROUND(I80*0.15,2)</f>
        <v/>
      </c>
      <c r="L80" s="14" t="n">
        <v>11.05</v>
      </c>
      <c r="M80" t="inlineStr">
        <is>
          <t>DPD3304560537</t>
        </is>
      </c>
      <c r="N80" s="14" t="n">
        <v>25.64</v>
      </c>
      <c r="O80" t="inlineStr"/>
      <c r="P80" s="14">
        <f>IF(O80="TAK",-(K80+L80+N80),I80-J80-K80-L80-N80)</f>
        <v/>
      </c>
      <c r="Q80" s="15">
        <f>IF(I80=0,0,P80/I80)</f>
        <v/>
      </c>
    </row>
    <row r="81">
      <c r="A81" t="inlineStr">
        <is>
          <t>2026-06-08</t>
        </is>
      </c>
      <c r="B81" t="inlineStr">
        <is>
          <t>eBay</t>
        </is>
      </c>
      <c r="C81" t="inlineStr">
        <is>
          <t>DE</t>
        </is>
      </c>
      <c r="D81" t="inlineStr">
        <is>
          <t>POL-330</t>
        </is>
      </c>
      <c r="E81" t="n">
        <v>3</v>
      </c>
      <c r="F81" t="n">
        <v>348.57</v>
      </c>
      <c r="G81" t="inlineStr">
        <is>
          <t>EUR</t>
        </is>
      </c>
      <c r="H81" s="13">
        <f>IF(G81="PLN",1,IF(G81="EUR",VLOOKUP(A81,Kursy!$A$4:$C$33,2,FALSE),VLOOKUP(A81,Kursy!$A$4:$C$33,3,FALSE)))</f>
        <v/>
      </c>
      <c r="I81" s="14">
        <f>ROUND(F81*H81,2)</f>
        <v/>
      </c>
      <c r="J81" s="14">
        <f>ROUND(I81*0.5591,2)</f>
        <v/>
      </c>
      <c r="K81" s="14">
        <f>ROUND(I81*0.11,2)</f>
        <v/>
      </c>
      <c r="L81" s="14" t="n">
        <v>26.41</v>
      </c>
      <c r="M81" t="inlineStr">
        <is>
          <t>DPD9861449701</t>
        </is>
      </c>
      <c r="N81" s="14" t="n">
        <v>36.72</v>
      </c>
      <c r="O81" t="inlineStr"/>
      <c r="P81" s="14">
        <f>IF(O81="TAK",-(K81+L81+N81),I81-J81-K81-L81-N81)</f>
        <v/>
      </c>
      <c r="Q81" s="15">
        <f>IF(I81=0,0,P81/I81)</f>
        <v/>
      </c>
    </row>
    <row r="82">
      <c r="A82" t="inlineStr">
        <is>
          <t>2026-06-02</t>
        </is>
      </c>
      <c r="B82" t="inlineStr">
        <is>
          <t>eBay</t>
        </is>
      </c>
      <c r="C82" t="inlineStr">
        <is>
          <t>DE</t>
        </is>
      </c>
      <c r="D82" t="inlineStr">
        <is>
          <t>POL-330</t>
        </is>
      </c>
      <c r="E82" t="n">
        <v>1</v>
      </c>
      <c r="F82" t="n">
        <v>124.08</v>
      </c>
      <c r="G82" t="inlineStr">
        <is>
          <t>EUR</t>
        </is>
      </c>
      <c r="H82" s="13">
        <f>IF(G82="PLN",1,IF(G82="EUR",VLOOKUP(A82,Kursy!$A$4:$C$33,2,FALSE),VLOOKUP(A82,Kursy!$A$4:$C$33,3,FALSE)))</f>
        <v/>
      </c>
      <c r="I82" s="14">
        <f>ROUND(F82*H82,2)</f>
        <v/>
      </c>
      <c r="J82" s="14">
        <f>ROUND(I82*0.5388,2)</f>
        <v/>
      </c>
      <c r="K82" s="14">
        <f>ROUND(I82*0.11,2)</f>
        <v/>
      </c>
      <c r="L82" s="14" t="n">
        <v>2.72</v>
      </c>
      <c r="M82" t="inlineStr">
        <is>
          <t>DHL6964188417</t>
        </is>
      </c>
      <c r="N82" s="14" t="n">
        <v>23.13</v>
      </c>
      <c r="O82" t="inlineStr"/>
      <c r="P82" s="14">
        <f>IF(O82="TAK",-(K82+L82+N82),I82-J82-K82-L82-N82)</f>
        <v/>
      </c>
      <c r="Q82" s="15">
        <f>IF(I82=0,0,P82/I82)</f>
        <v/>
      </c>
    </row>
    <row r="83">
      <c r="A83" t="inlineStr">
        <is>
          <t>2026-06-21</t>
        </is>
      </c>
      <c r="B83" t="inlineStr">
        <is>
          <t>PrestaShop</t>
        </is>
      </c>
      <c r="C83" t="inlineStr">
        <is>
          <t>PL</t>
        </is>
      </c>
      <c r="D83" t="inlineStr">
        <is>
          <t>POL-330</t>
        </is>
      </c>
      <c r="E83" t="n">
        <v>2</v>
      </c>
      <c r="F83" t="n">
        <v>622.48</v>
      </c>
      <c r="G83" t="inlineStr">
        <is>
          <t>PLN</t>
        </is>
      </c>
      <c r="H83" s="13">
        <f>IF(G83="PLN",1,IF(G83="EUR",VLOOKUP(A83,Kursy!$A$4:$C$33,2,FALSE),VLOOKUP(A83,Kursy!$A$4:$C$33,3,FALSE)))</f>
        <v/>
      </c>
      <c r="I83" s="14">
        <f>ROUND(F83*H83,2)</f>
        <v/>
      </c>
      <c r="J83" s="14">
        <f>ROUND(I83*0.5383,2)</f>
        <v/>
      </c>
      <c r="K83" s="14">
        <f>ROUND(I83*0.0,2)</f>
        <v/>
      </c>
      <c r="L83" s="14" t="n">
        <v>11.43</v>
      </c>
      <c r="M83" t="inlineStr">
        <is>
          <t>DPD9730449971</t>
        </is>
      </c>
      <c r="N83" s="14" t="n">
        <v>23.12</v>
      </c>
      <c r="O83" t="inlineStr"/>
      <c r="P83" s="14">
        <f>IF(O83="TAK",-(K83+L83+N83),I83-J83-K83-L83-N83)</f>
        <v/>
      </c>
      <c r="Q83" s="15">
        <f>IF(I83=0,0,P83/I83)</f>
        <v/>
      </c>
    </row>
    <row r="84">
      <c r="A84" t="inlineStr">
        <is>
          <t>2026-06-04</t>
        </is>
      </c>
      <c r="B84" t="inlineStr">
        <is>
          <t>Allegro</t>
        </is>
      </c>
      <c r="C84" t="inlineStr">
        <is>
          <t>CZ</t>
        </is>
      </c>
      <c r="D84" t="inlineStr">
        <is>
          <t>ZEG-440</t>
        </is>
      </c>
      <c r="E84" t="n">
        <v>2</v>
      </c>
      <c r="F84" t="n">
        <v>607.4400000000001</v>
      </c>
      <c r="G84" t="inlineStr">
        <is>
          <t>CZK</t>
        </is>
      </c>
      <c r="H84" s="13">
        <f>IF(G84="PLN",1,IF(G84="EUR",VLOOKUP(A84,Kursy!$A$4:$C$33,2,FALSE),VLOOKUP(A84,Kursy!$A$4:$C$33,3,FALSE)))</f>
        <v/>
      </c>
      <c r="I84" s="14">
        <f>ROUND(F84*H84,2)</f>
        <v/>
      </c>
      <c r="J84" s="14">
        <f>ROUND(I84*0.5188,2)</f>
        <v/>
      </c>
      <c r="K84" s="14">
        <f>ROUND(I84*0.09,2)</f>
        <v/>
      </c>
      <c r="L84" s="14" t="n">
        <v>25.25</v>
      </c>
      <c r="M84" t="inlineStr">
        <is>
          <t>DPD5555027957</t>
        </is>
      </c>
      <c r="N84" s="14" t="n">
        <v>20.28</v>
      </c>
      <c r="O84" t="inlineStr"/>
      <c r="P84" s="14">
        <f>IF(O84="TAK",-(K84+L84+N84),I84-J84-K84-L84-N84)</f>
        <v/>
      </c>
      <c r="Q84" s="15">
        <f>IF(I84=0,0,P84/I84)</f>
        <v/>
      </c>
    </row>
    <row r="85">
      <c r="A85" t="inlineStr">
        <is>
          <t>2026-06-21</t>
        </is>
      </c>
      <c r="B85" t="inlineStr">
        <is>
          <t>Amazon</t>
        </is>
      </c>
      <c r="C85" t="inlineStr">
        <is>
          <t>FR</t>
        </is>
      </c>
      <c r="D85" t="inlineStr">
        <is>
          <t>ZEG-440</t>
        </is>
      </c>
      <c r="E85" t="n">
        <v>1</v>
      </c>
      <c r="F85" t="n">
        <v>255.35</v>
      </c>
      <c r="G85" t="inlineStr">
        <is>
          <t>EUR</t>
        </is>
      </c>
      <c r="H85" s="13">
        <f>IF(G85="PLN",1,IF(G85="EUR",VLOOKUP(A85,Kursy!$A$4:$C$33,2,FALSE),VLOOKUP(A85,Kursy!$A$4:$C$33,3,FALSE)))</f>
        <v/>
      </c>
      <c r="I85" s="14">
        <f>ROUND(F85*H85,2)</f>
        <v/>
      </c>
      <c r="J85" s="14">
        <f>ROUND(I85*0.6154,2)</f>
        <v/>
      </c>
      <c r="K85" s="14">
        <f>ROUND(I85*0.15,2)</f>
        <v/>
      </c>
      <c r="L85" s="14" t="n">
        <v>1.42</v>
      </c>
      <c r="M85" t="inlineStr">
        <is>
          <t>DPD3424843951</t>
        </is>
      </c>
      <c r="N85" s="14" t="n">
        <v>14.06</v>
      </c>
      <c r="O85" t="inlineStr"/>
      <c r="P85" s="14">
        <f>IF(O85="TAK",-(K85+L85+N85),I85-J85-K85-L85-N85)</f>
        <v/>
      </c>
      <c r="Q85" s="15">
        <f>IF(I85=0,0,P85/I85)</f>
        <v/>
      </c>
    </row>
    <row r="86">
      <c r="A86" t="inlineStr">
        <is>
          <t>2026-06-08</t>
        </is>
      </c>
      <c r="B86" t="inlineStr">
        <is>
          <t>PrestaShop</t>
        </is>
      </c>
      <c r="C86" t="inlineStr">
        <is>
          <t>PL</t>
        </is>
      </c>
      <c r="D86" t="inlineStr">
        <is>
          <t>KRZ-011</t>
        </is>
      </c>
      <c r="E86" t="n">
        <v>2</v>
      </c>
      <c r="F86" t="n">
        <v>586.16</v>
      </c>
      <c r="G86" t="inlineStr">
        <is>
          <t>PLN</t>
        </is>
      </c>
      <c r="H86" s="13">
        <f>IF(G86="PLN",1,IF(G86="EUR",VLOOKUP(A86,Kursy!$A$4:$C$33,2,FALSE),VLOOKUP(A86,Kursy!$A$4:$C$33,3,FALSE)))</f>
        <v/>
      </c>
      <c r="I86" s="14">
        <f>ROUND(F86*H86,2)</f>
        <v/>
      </c>
      <c r="J86" s="14">
        <f>ROUND(I86*0.4836,2)</f>
        <v/>
      </c>
      <c r="K86" s="14">
        <f>ROUND(I86*0.0,2)</f>
        <v/>
      </c>
      <c r="L86" s="14" t="n">
        <v>25.21</v>
      </c>
      <c r="M86" t="inlineStr">
        <is>
          <t>DHL5226368665</t>
        </is>
      </c>
      <c r="N86" s="14" t="n">
        <v>41.63</v>
      </c>
      <c r="O86" t="inlineStr"/>
      <c r="P86" s="14">
        <f>IF(O86="TAK",-(K86+L86+N86),I86-J86-K86-L86-N86)</f>
        <v/>
      </c>
      <c r="Q86" s="15">
        <f>IF(I86=0,0,P86/I86)</f>
        <v/>
      </c>
    </row>
    <row r="87">
      <c r="A87" t="inlineStr">
        <is>
          <t>2026-06-28</t>
        </is>
      </c>
      <c r="B87" t="inlineStr">
        <is>
          <t>PrestaShop</t>
        </is>
      </c>
      <c r="C87" t="inlineStr">
        <is>
          <t>PL</t>
        </is>
      </c>
      <c r="D87" t="inlineStr">
        <is>
          <t>STO-100</t>
        </is>
      </c>
      <c r="E87" t="n">
        <v>2</v>
      </c>
      <c r="F87" t="n">
        <v>233.18</v>
      </c>
      <c r="G87" t="inlineStr">
        <is>
          <t>PLN</t>
        </is>
      </c>
      <c r="H87" s="13">
        <f>IF(G87="PLN",1,IF(G87="EUR",VLOOKUP(A87,Kursy!$A$4:$C$33,2,FALSE),VLOOKUP(A87,Kursy!$A$4:$C$33,3,FALSE)))</f>
        <v/>
      </c>
      <c r="I87" s="14">
        <f>ROUND(F87*H87,2)</f>
        <v/>
      </c>
      <c r="J87" s="14">
        <f>ROUND(I87*0.4624,2)</f>
        <v/>
      </c>
      <c r="K87" s="14">
        <f>ROUND(I87*0.0,2)</f>
        <v/>
      </c>
      <c r="L87" s="14" t="n">
        <v>22.12</v>
      </c>
      <c r="M87" t="inlineStr">
        <is>
          <t>DHL7824071339</t>
        </is>
      </c>
      <c r="N87" s="14" t="n">
        <v>12.47</v>
      </c>
      <c r="O87" t="inlineStr">
        <is>
          <t>TAK</t>
        </is>
      </c>
      <c r="P87" s="14">
        <f>IF(O87="TAK",-(K87+L87+N87),I87-J87-K87-L87-N87)</f>
        <v/>
      </c>
      <c r="Q87" s="15">
        <f>IF(I87=0,0,P87/I87)</f>
        <v/>
      </c>
    </row>
    <row r="88">
      <c r="A88" t="inlineStr">
        <is>
          <t>2026-06-17</t>
        </is>
      </c>
      <c r="B88" t="inlineStr">
        <is>
          <t>eBay</t>
        </is>
      </c>
      <c r="C88" t="inlineStr">
        <is>
          <t>DE</t>
        </is>
      </c>
      <c r="D88" t="inlineStr">
        <is>
          <t>LMP-001</t>
        </is>
      </c>
      <c r="E88" t="n">
        <v>2</v>
      </c>
      <c r="F88" t="n">
        <v>550.34</v>
      </c>
      <c r="G88" t="inlineStr">
        <is>
          <t>EUR</t>
        </is>
      </c>
      <c r="H88" s="13">
        <f>IF(G88="PLN",1,IF(G88="EUR",VLOOKUP(A88,Kursy!$A$4:$C$33,2,FALSE),VLOOKUP(A88,Kursy!$A$4:$C$33,3,FALSE)))</f>
        <v/>
      </c>
      <c r="I88" s="14">
        <f>ROUND(F88*H88,2)</f>
        <v/>
      </c>
      <c r="J88" s="14">
        <f>ROUND(I88*0.4702,2)</f>
        <v/>
      </c>
      <c r="K88" s="14">
        <f>ROUND(I88*0.11,2)</f>
        <v/>
      </c>
      <c r="L88" s="14" t="n">
        <v>12.55</v>
      </c>
      <c r="M88" t="inlineStr">
        <is>
          <t>DPD5763350700</t>
        </is>
      </c>
      <c r="N88" s="14" t="n">
        <v>27.12</v>
      </c>
      <c r="O88" t="inlineStr"/>
      <c r="P88" s="14">
        <f>IF(O88="TAK",-(K88+L88+N88),I88-J88-K88-L88-N88)</f>
        <v/>
      </c>
      <c r="Q88" s="15">
        <f>IF(I88=0,0,P88/I88)</f>
        <v/>
      </c>
    </row>
    <row r="89">
      <c r="A89" t="inlineStr">
        <is>
          <t>2026-06-01</t>
        </is>
      </c>
      <c r="B89" t="inlineStr">
        <is>
          <t>Amazon</t>
        </is>
      </c>
      <c r="C89" t="inlineStr">
        <is>
          <t>DE</t>
        </is>
      </c>
      <c r="D89" t="inlineStr">
        <is>
          <t>STO-100</t>
        </is>
      </c>
      <c r="E89" t="n">
        <v>4</v>
      </c>
      <c r="F89" t="n">
        <v>1001.92</v>
      </c>
      <c r="G89" t="inlineStr">
        <is>
          <t>EUR</t>
        </is>
      </c>
      <c r="H89" s="13">
        <f>IF(G89="PLN",1,IF(G89="EUR",VLOOKUP(A89,Kursy!$A$4:$C$33,2,FALSE),VLOOKUP(A89,Kursy!$A$4:$C$33,3,FALSE)))</f>
        <v/>
      </c>
      <c r="I89" s="14">
        <f>ROUND(F89*H89,2)</f>
        <v/>
      </c>
      <c r="J89" s="14">
        <f>ROUND(I89*0.5366,2)</f>
        <v/>
      </c>
      <c r="K89" s="14">
        <f>ROUND(I89*0.15,2)</f>
        <v/>
      </c>
      <c r="L89" s="14" t="n">
        <v>11.25</v>
      </c>
      <c r="M89" t="inlineStr">
        <is>
          <t>DHL9202102595</t>
        </is>
      </c>
      <c r="N89" s="14" t="n">
        <v>14.2</v>
      </c>
      <c r="O89" t="inlineStr">
        <is>
          <t>TAK</t>
        </is>
      </c>
      <c r="P89" s="14">
        <f>IF(O89="TAK",-(K89+L89+N89),I89-J89-K89-L89-N89)</f>
        <v/>
      </c>
      <c r="Q89" s="15">
        <f>IF(I89=0,0,P89/I89)</f>
        <v/>
      </c>
    </row>
    <row r="90">
      <c r="A90" t="inlineStr">
        <is>
          <t>2026-06-09</t>
        </is>
      </c>
      <c r="B90" t="inlineStr">
        <is>
          <t>Amazon</t>
        </is>
      </c>
      <c r="C90" t="inlineStr">
        <is>
          <t>FR</t>
        </is>
      </c>
      <c r="D90" t="inlineStr">
        <is>
          <t>DYW-220</t>
        </is>
      </c>
      <c r="E90" t="n">
        <v>2</v>
      </c>
      <c r="F90" t="n">
        <v>210.98</v>
      </c>
      <c r="G90" t="inlineStr">
        <is>
          <t>EUR</t>
        </is>
      </c>
      <c r="H90" s="13">
        <f>IF(G90="PLN",1,IF(G90="EUR",VLOOKUP(A90,Kursy!$A$4:$C$33,2,FALSE),VLOOKUP(A90,Kursy!$A$4:$C$33,3,FALSE)))</f>
        <v/>
      </c>
      <c r="I90" s="14">
        <f>ROUND(F90*H90,2)</f>
        <v/>
      </c>
      <c r="J90" s="14">
        <f>ROUND(I90*0.5537,2)</f>
        <v/>
      </c>
      <c r="K90" s="14">
        <f>ROUND(I90*0.15,2)</f>
        <v/>
      </c>
      <c r="L90" s="14" t="n">
        <v>19.94</v>
      </c>
      <c r="M90" t="inlineStr">
        <is>
          <t>DPD7573691558</t>
        </is>
      </c>
      <c r="N90" s="14" t="n">
        <v>25.61</v>
      </c>
      <c r="O90" t="inlineStr"/>
      <c r="P90" s="14">
        <f>IF(O90="TAK",-(K90+L90+N90),I90-J90-K90-L90-N90)</f>
        <v/>
      </c>
      <c r="Q90" s="15">
        <f>IF(I90=0,0,P90/I90)</f>
        <v/>
      </c>
    </row>
    <row r="91">
      <c r="A91" t="inlineStr">
        <is>
          <t>2026-06-21</t>
        </is>
      </c>
      <c r="B91" t="inlineStr">
        <is>
          <t>Allegro</t>
        </is>
      </c>
      <c r="C91" t="inlineStr">
        <is>
          <t>PL</t>
        </is>
      </c>
      <c r="D91" t="inlineStr">
        <is>
          <t>LMP-002</t>
        </is>
      </c>
      <c r="E91" t="n">
        <v>1</v>
      </c>
      <c r="F91" t="n">
        <v>303.05</v>
      </c>
      <c r="G91" t="inlineStr">
        <is>
          <t>PLN</t>
        </is>
      </c>
      <c r="H91" s="13">
        <f>IF(G91="PLN",1,IF(G91="EUR",VLOOKUP(A91,Kursy!$A$4:$C$33,2,FALSE),VLOOKUP(A91,Kursy!$A$4:$C$33,3,FALSE)))</f>
        <v/>
      </c>
      <c r="I91" s="14">
        <f>ROUND(F91*H91,2)</f>
        <v/>
      </c>
      <c r="J91" s="14">
        <f>ROUND(I91*0.5482,2)</f>
        <v/>
      </c>
      <c r="K91" s="14">
        <f>ROUND(I91*0.09,2)</f>
        <v/>
      </c>
      <c r="L91" s="14" t="n">
        <v>24.23</v>
      </c>
      <c r="M91" t="inlineStr">
        <is>
          <t>DPD6276339732</t>
        </is>
      </c>
      <c r="N91" s="14" t="n">
        <v>22.17</v>
      </c>
      <c r="O91" t="inlineStr"/>
      <c r="P91" s="14">
        <f>IF(O91="TAK",-(K91+L91+N91),I91-J91-K91-L91-N91)</f>
        <v/>
      </c>
      <c r="Q91" s="15">
        <f>IF(I91=0,0,P91/I91)</f>
        <v/>
      </c>
    </row>
    <row r="92">
      <c r="A92" t="inlineStr">
        <is>
          <t>2026-06-11</t>
        </is>
      </c>
      <c r="B92" t="inlineStr">
        <is>
          <t>Allegro</t>
        </is>
      </c>
      <c r="C92" t="inlineStr">
        <is>
          <t>CZ</t>
        </is>
      </c>
      <c r="D92" t="inlineStr">
        <is>
          <t>POL-330</t>
        </is>
      </c>
      <c r="E92" t="n">
        <v>4</v>
      </c>
      <c r="F92" t="n">
        <v>1088.52</v>
      </c>
      <c r="G92" t="inlineStr">
        <is>
          <t>CZK</t>
        </is>
      </c>
      <c r="H92" s="13">
        <f>IF(G92="PLN",1,IF(G92="EUR",VLOOKUP(A92,Kursy!$A$4:$C$33,2,FALSE),VLOOKUP(A92,Kursy!$A$4:$C$33,3,FALSE)))</f>
        <v/>
      </c>
      <c r="I92" s="14">
        <f>ROUND(F92*H92,2)</f>
        <v/>
      </c>
      <c r="J92" s="14">
        <f>ROUND(I92*0.5664,2)</f>
        <v/>
      </c>
      <c r="K92" s="14">
        <f>ROUND(I92*0.09,2)</f>
        <v/>
      </c>
      <c r="L92" s="14" t="n">
        <v>10.48</v>
      </c>
      <c r="M92" t="inlineStr">
        <is>
          <t>DHL3036965074</t>
        </is>
      </c>
      <c r="N92" s="14" t="n">
        <v>14.74</v>
      </c>
      <c r="O92" t="inlineStr"/>
      <c r="P92" s="14">
        <f>IF(O92="TAK",-(K92+L92+N92),I92-J92-K92-L92-N92)</f>
        <v/>
      </c>
      <c r="Q92" s="15">
        <f>IF(I92=0,0,P92/I92)</f>
        <v/>
      </c>
    </row>
    <row r="93">
      <c r="A93" t="inlineStr">
        <is>
          <t>2026-06-24</t>
        </is>
      </c>
      <c r="B93" t="inlineStr">
        <is>
          <t>Amazon</t>
        </is>
      </c>
      <c r="C93" t="inlineStr">
        <is>
          <t>FR</t>
        </is>
      </c>
      <c r="D93" t="inlineStr">
        <is>
          <t>LMP-002</t>
        </is>
      </c>
      <c r="E93" t="n">
        <v>4</v>
      </c>
      <c r="F93" t="n">
        <v>452.96</v>
      </c>
      <c r="G93" t="inlineStr">
        <is>
          <t>EUR</t>
        </is>
      </c>
      <c r="H93" s="13">
        <f>IF(G93="PLN",1,IF(G93="EUR",VLOOKUP(A93,Kursy!$A$4:$C$33,2,FALSE),VLOOKUP(A93,Kursy!$A$4:$C$33,3,FALSE)))</f>
        <v/>
      </c>
      <c r="I93" s="14">
        <f>ROUND(F93*H93,2)</f>
        <v/>
      </c>
      <c r="J93" s="14">
        <f>ROUND(I93*0.4808,2)</f>
        <v/>
      </c>
      <c r="K93" s="14">
        <f>ROUND(I93*0.15,2)</f>
        <v/>
      </c>
      <c r="L93" s="14" t="n">
        <v>1.68</v>
      </c>
      <c r="M93" t="inlineStr">
        <is>
          <t>DPD3877685081</t>
        </is>
      </c>
      <c r="N93" s="14" t="n">
        <v>24.32</v>
      </c>
      <c r="O93" t="inlineStr"/>
      <c r="P93" s="14">
        <f>IF(O93="TAK",-(K93+L93+N93),I93-J93-K93-L93-N93)</f>
        <v/>
      </c>
      <c r="Q93" s="15">
        <f>IF(I93=0,0,P93/I93)</f>
        <v/>
      </c>
    </row>
    <row r="94">
      <c r="A94" t="inlineStr">
        <is>
          <t>2026-06-12</t>
        </is>
      </c>
      <c r="B94" t="inlineStr">
        <is>
          <t>Allegro</t>
        </is>
      </c>
      <c r="C94" t="inlineStr">
        <is>
          <t>PL</t>
        </is>
      </c>
      <c r="D94" t="inlineStr">
        <is>
          <t>LMP-001</t>
        </is>
      </c>
      <c r="E94" t="n">
        <v>3</v>
      </c>
      <c r="F94" t="n">
        <v>719.1</v>
      </c>
      <c r="G94" t="inlineStr">
        <is>
          <t>PLN</t>
        </is>
      </c>
      <c r="H94" s="13">
        <f>IF(G94="PLN",1,IF(G94="EUR",VLOOKUP(A94,Kursy!$A$4:$C$33,2,FALSE),VLOOKUP(A94,Kursy!$A$4:$C$33,3,FALSE)))</f>
        <v/>
      </c>
      <c r="I94" s="14">
        <f>ROUND(F94*H94,2)</f>
        <v/>
      </c>
      <c r="J94" s="14">
        <f>ROUND(I94*0.5412,2)</f>
        <v/>
      </c>
      <c r="K94" s="14">
        <f>ROUND(I94*0.09,2)</f>
        <v/>
      </c>
      <c r="L94" s="14" t="n">
        <v>4.33</v>
      </c>
      <c r="M94" t="inlineStr">
        <is>
          <t>DPD5759761714</t>
        </is>
      </c>
      <c r="N94" s="14" t="n">
        <v>37.36</v>
      </c>
      <c r="O94" t="inlineStr"/>
      <c r="P94" s="14">
        <f>IF(O94="TAK",-(K94+L94+N94),I94-J94-K94-L94-N94)</f>
        <v/>
      </c>
      <c r="Q94" s="15">
        <f>IF(I94=0,0,P94/I94)</f>
        <v/>
      </c>
    </row>
    <row r="95">
      <c r="A95" t="inlineStr">
        <is>
          <t>2026-06-26</t>
        </is>
      </c>
      <c r="B95" t="inlineStr">
        <is>
          <t>eBay</t>
        </is>
      </c>
      <c r="C95" t="inlineStr">
        <is>
          <t>FR</t>
        </is>
      </c>
      <c r="D95" t="inlineStr">
        <is>
          <t>LMP-002</t>
        </is>
      </c>
      <c r="E95" t="n">
        <v>3</v>
      </c>
      <c r="F95" t="n">
        <v>699.3</v>
      </c>
      <c r="G95" t="inlineStr">
        <is>
          <t>EUR</t>
        </is>
      </c>
      <c r="H95" s="13">
        <f>IF(G95="PLN",1,IF(G95="EUR",VLOOKUP(A95,Kursy!$A$4:$C$33,2,FALSE),VLOOKUP(A95,Kursy!$A$4:$C$33,3,FALSE)))</f>
        <v/>
      </c>
      <c r="I95" s="14">
        <f>ROUND(F95*H95,2)</f>
        <v/>
      </c>
      <c r="J95" s="14">
        <f>ROUND(I95*0.5498,2)</f>
        <v/>
      </c>
      <c r="K95" s="14">
        <f>ROUND(I95*0.11,2)</f>
        <v/>
      </c>
      <c r="L95" s="14" t="n">
        <v>21.49</v>
      </c>
      <c r="M95" t="inlineStr">
        <is>
          <t>DHL8273403366</t>
        </is>
      </c>
      <c r="N95" s="14" t="n">
        <v>12.87</v>
      </c>
      <c r="O95" t="inlineStr"/>
      <c r="P95" s="14">
        <f>IF(O95="TAK",-(K95+L95+N95),I95-J95-K95-L95-N95)</f>
        <v/>
      </c>
      <c r="Q95" s="15">
        <f>IF(I95=0,0,P95/I95)</f>
        <v/>
      </c>
    </row>
    <row r="96">
      <c r="A96" t="inlineStr">
        <is>
          <t>2026-06-06</t>
        </is>
      </c>
      <c r="B96" t="inlineStr">
        <is>
          <t>eBay</t>
        </is>
      </c>
      <c r="C96" t="inlineStr">
        <is>
          <t>DE</t>
        </is>
      </c>
      <c r="D96" t="inlineStr">
        <is>
          <t>STO-100</t>
        </is>
      </c>
      <c r="E96" t="n">
        <v>3</v>
      </c>
      <c r="F96" t="n">
        <v>531.33</v>
      </c>
      <c r="G96" t="inlineStr">
        <is>
          <t>EUR</t>
        </is>
      </c>
      <c r="H96" s="13">
        <f>IF(G96="PLN",1,IF(G96="EUR",VLOOKUP(A96,Kursy!$A$4:$C$33,2,FALSE),VLOOKUP(A96,Kursy!$A$4:$C$33,3,FALSE)))</f>
        <v/>
      </c>
      <c r="I96" s="14">
        <f>ROUND(F96*H96,2)</f>
        <v/>
      </c>
      <c r="J96" s="14">
        <f>ROUND(I96*0.5506,2)</f>
        <v/>
      </c>
      <c r="K96" s="14">
        <f>ROUND(I96*0.11,2)</f>
        <v/>
      </c>
      <c r="L96" s="14" t="n">
        <v>11.22</v>
      </c>
      <c r="M96" t="inlineStr">
        <is>
          <t>DHL5173893550</t>
        </is>
      </c>
      <c r="N96" s="14" t="n">
        <v>14.75</v>
      </c>
      <c r="O96" t="inlineStr"/>
      <c r="P96" s="14">
        <f>IF(O96="TAK",-(K96+L96+N96),I96-J96-K96-L96-N96)</f>
        <v/>
      </c>
      <c r="Q96" s="15">
        <f>IF(I96=0,0,P96/I96)</f>
        <v/>
      </c>
    </row>
    <row r="97">
      <c r="A97" t="inlineStr">
        <is>
          <t>2026-06-11</t>
        </is>
      </c>
      <c r="B97" t="inlineStr">
        <is>
          <t>PrestaShop</t>
        </is>
      </c>
      <c r="C97" t="inlineStr">
        <is>
          <t>PL</t>
        </is>
      </c>
      <c r="D97" t="inlineStr">
        <is>
          <t>KRZ-011</t>
        </is>
      </c>
      <c r="E97" t="n">
        <v>4</v>
      </c>
      <c r="F97" t="n">
        <v>777.52</v>
      </c>
      <c r="G97" t="inlineStr">
        <is>
          <t>PLN</t>
        </is>
      </c>
      <c r="H97" s="13">
        <f>IF(G97="PLN",1,IF(G97="EUR",VLOOKUP(A97,Kursy!$A$4:$C$33,2,FALSE),VLOOKUP(A97,Kursy!$A$4:$C$33,3,FALSE)))</f>
        <v/>
      </c>
      <c r="I97" s="14">
        <f>ROUND(F97*H97,2)</f>
        <v/>
      </c>
      <c r="J97" s="14">
        <f>ROUND(I97*0.5099,2)</f>
        <v/>
      </c>
      <c r="K97" s="14">
        <f>ROUND(I97*0.0,2)</f>
        <v/>
      </c>
      <c r="L97" s="14" t="n">
        <v>9.08</v>
      </c>
      <c r="M97" t="inlineStr">
        <is>
          <t>DHL4793925798</t>
        </is>
      </c>
      <c r="N97" s="14" t="n">
        <v>16.67</v>
      </c>
      <c r="O97" t="inlineStr"/>
      <c r="P97" s="14">
        <f>IF(O97="TAK",-(K97+L97+N97),I97-J97-K97-L97-N97)</f>
        <v/>
      </c>
      <c r="Q97" s="15">
        <f>IF(I97=0,0,P97/I97)</f>
        <v/>
      </c>
    </row>
    <row r="98">
      <c r="A98" t="inlineStr">
        <is>
          <t>2026-06-14</t>
        </is>
      </c>
      <c r="B98" t="inlineStr">
        <is>
          <t>Amazon</t>
        </is>
      </c>
      <c r="C98" t="inlineStr">
        <is>
          <t>DE</t>
        </is>
      </c>
      <c r="D98" t="inlineStr">
        <is>
          <t>LMP-002</t>
        </is>
      </c>
      <c r="E98" t="n">
        <v>3</v>
      </c>
      <c r="F98" t="n">
        <v>600.66</v>
      </c>
      <c r="G98" t="inlineStr">
        <is>
          <t>EUR</t>
        </is>
      </c>
      <c r="H98" s="13">
        <f>IF(G98="PLN",1,IF(G98="EUR",VLOOKUP(A98,Kursy!$A$4:$C$33,2,FALSE),VLOOKUP(A98,Kursy!$A$4:$C$33,3,FALSE)))</f>
        <v/>
      </c>
      <c r="I98" s="14">
        <f>ROUND(F98*H98,2)</f>
        <v/>
      </c>
      <c r="J98" s="14">
        <f>ROUND(I98*0.5307,2)</f>
        <v/>
      </c>
      <c r="K98" s="14">
        <f>ROUND(I98*0.15,2)</f>
        <v/>
      </c>
      <c r="L98" s="14" t="n">
        <v>7.65</v>
      </c>
      <c r="M98" t="inlineStr">
        <is>
          <t>DHL6777473414</t>
        </is>
      </c>
      <c r="N98" s="14" t="n">
        <v>15.33</v>
      </c>
      <c r="O98" t="inlineStr"/>
      <c r="P98" s="14">
        <f>IF(O98="TAK",-(K98+L98+N98),I98-J98-K98-L98-N98)</f>
        <v/>
      </c>
      <c r="Q98" s="15">
        <f>IF(I98=0,0,P98/I98)</f>
        <v/>
      </c>
    </row>
    <row r="99">
      <c r="A99" t="inlineStr">
        <is>
          <t>2026-06-20</t>
        </is>
      </c>
      <c r="B99" t="inlineStr">
        <is>
          <t>Allegro</t>
        </is>
      </c>
      <c r="C99" t="inlineStr">
        <is>
          <t>CZ</t>
        </is>
      </c>
      <c r="D99" t="inlineStr">
        <is>
          <t>STO-100</t>
        </is>
      </c>
      <c r="E99" t="n">
        <v>1</v>
      </c>
      <c r="F99" t="n">
        <v>144.35</v>
      </c>
      <c r="G99" t="inlineStr">
        <is>
          <t>CZK</t>
        </is>
      </c>
      <c r="H99" s="13">
        <f>IF(G99="PLN",1,IF(G99="EUR",VLOOKUP(A99,Kursy!$A$4:$C$33,2,FALSE),VLOOKUP(A99,Kursy!$A$4:$C$33,3,FALSE)))</f>
        <v/>
      </c>
      <c r="I99" s="14">
        <f>ROUND(F99*H99,2)</f>
        <v/>
      </c>
      <c r="J99" s="14">
        <f>ROUND(I99*0.4927,2)</f>
        <v/>
      </c>
      <c r="K99" s="14">
        <f>ROUND(I99*0.09,2)</f>
        <v/>
      </c>
      <c r="L99" s="14" t="n">
        <v>26.47</v>
      </c>
      <c r="M99" t="inlineStr">
        <is>
          <t>DHL8577013359</t>
        </is>
      </c>
      <c r="N99" s="14" t="n">
        <v>20.68</v>
      </c>
      <c r="O99" t="inlineStr">
        <is>
          <t>TAK</t>
        </is>
      </c>
      <c r="P99" s="14">
        <f>IF(O99="TAK",-(K99+L99+N99),I99-J99-K99-L99-N99)</f>
        <v/>
      </c>
      <c r="Q99" s="15">
        <f>IF(I99=0,0,P99/I99)</f>
        <v/>
      </c>
    </row>
    <row r="100">
      <c r="A100" t="inlineStr">
        <is>
          <t>2026-06-06</t>
        </is>
      </c>
      <c r="B100" t="inlineStr">
        <is>
          <t>Amazon</t>
        </is>
      </c>
      <c r="C100" t="inlineStr">
        <is>
          <t>FR</t>
        </is>
      </c>
      <c r="D100" t="inlineStr">
        <is>
          <t>LMP-001</t>
        </is>
      </c>
      <c r="E100" t="n">
        <v>4</v>
      </c>
      <c r="F100" t="n">
        <v>1106</v>
      </c>
      <c r="G100" t="inlineStr">
        <is>
          <t>EUR</t>
        </is>
      </c>
      <c r="H100" s="13">
        <f>IF(G100="PLN",1,IF(G100="EUR",VLOOKUP(A100,Kursy!$A$4:$C$33,2,FALSE),VLOOKUP(A100,Kursy!$A$4:$C$33,3,FALSE)))</f>
        <v/>
      </c>
      <c r="I100" s="14">
        <f>ROUND(F100*H100,2)</f>
        <v/>
      </c>
      <c r="J100" s="14">
        <f>ROUND(I100*0.5452,2)</f>
        <v/>
      </c>
      <c r="K100" s="14">
        <f>ROUND(I100*0.15,2)</f>
        <v/>
      </c>
      <c r="L100" s="14" t="n">
        <v>6.44</v>
      </c>
      <c r="M100" t="inlineStr">
        <is>
          <t>DPD5604529187</t>
        </is>
      </c>
      <c r="N100" s="14" t="n">
        <v>37.85</v>
      </c>
      <c r="O100" t="inlineStr"/>
      <c r="P100" s="14">
        <f>IF(O100="TAK",-(K100+L100+N100),I100-J100-K100-L100-N100)</f>
        <v/>
      </c>
      <c r="Q100" s="15">
        <f>IF(I100=0,0,P100/I100)</f>
        <v/>
      </c>
    </row>
    <row r="101">
      <c r="A101" t="inlineStr">
        <is>
          <t>2026-06-03</t>
        </is>
      </c>
      <c r="B101" t="inlineStr">
        <is>
          <t>Amazon</t>
        </is>
      </c>
      <c r="C101" t="inlineStr">
        <is>
          <t>DE</t>
        </is>
      </c>
      <c r="D101" t="inlineStr">
        <is>
          <t>POL-330</t>
        </is>
      </c>
      <c r="E101" t="n">
        <v>1</v>
      </c>
      <c r="F101" t="n">
        <v>204.4</v>
      </c>
      <c r="G101" t="inlineStr">
        <is>
          <t>EUR</t>
        </is>
      </c>
      <c r="H101" s="13">
        <f>IF(G101="PLN",1,IF(G101="EUR",VLOOKUP(A101,Kursy!$A$4:$C$33,2,FALSE),VLOOKUP(A101,Kursy!$A$4:$C$33,3,FALSE)))</f>
        <v/>
      </c>
      <c r="I101" s="14">
        <f>ROUND(F101*H101,2)</f>
        <v/>
      </c>
      <c r="J101" s="14">
        <f>ROUND(I101*0.5521,2)</f>
        <v/>
      </c>
      <c r="K101" s="14">
        <f>ROUND(I101*0.15,2)</f>
        <v/>
      </c>
      <c r="L101" s="14" t="n">
        <v>16.06</v>
      </c>
      <c r="M101" t="inlineStr">
        <is>
          <t>DPD2243458354</t>
        </is>
      </c>
      <c r="N101" s="14" t="n">
        <v>24.15</v>
      </c>
      <c r="O101" t="inlineStr"/>
      <c r="P101" s="14">
        <f>IF(O101="TAK",-(K101+L101+N101),I101-J101-K101-L101-N101)</f>
        <v/>
      </c>
      <c r="Q101" s="15">
        <f>IF(I101=0,0,P101/I101)</f>
        <v/>
      </c>
    </row>
    <row r="102">
      <c r="A102" t="inlineStr">
        <is>
          <t>2026-06-30</t>
        </is>
      </c>
      <c r="B102" t="inlineStr">
        <is>
          <t>eBay</t>
        </is>
      </c>
      <c r="C102" t="inlineStr">
        <is>
          <t>FR</t>
        </is>
      </c>
      <c r="D102" t="inlineStr">
        <is>
          <t>KRZ-010</t>
        </is>
      </c>
      <c r="E102" t="n">
        <v>4</v>
      </c>
      <c r="F102" t="n">
        <v>1191.36</v>
      </c>
      <c r="G102" t="inlineStr">
        <is>
          <t>EUR</t>
        </is>
      </c>
      <c r="H102" s="13">
        <f>IF(G102="PLN",1,IF(G102="EUR",VLOOKUP(A102,Kursy!$A$4:$C$33,2,FALSE),VLOOKUP(A102,Kursy!$A$4:$C$33,3,FALSE)))</f>
        <v/>
      </c>
      <c r="I102" s="14">
        <f>ROUND(F102*H102,2)</f>
        <v/>
      </c>
      <c r="J102" s="14">
        <f>ROUND(I102*0.5299,2)</f>
        <v/>
      </c>
      <c r="K102" s="14">
        <f>ROUND(I102*0.11,2)</f>
        <v/>
      </c>
      <c r="L102" s="14" t="n">
        <v>2.96</v>
      </c>
      <c r="M102" t="inlineStr">
        <is>
          <t>DPD7824150224</t>
        </is>
      </c>
      <c r="N102" s="14" t="n">
        <v>27.72</v>
      </c>
      <c r="O102" t="inlineStr"/>
      <c r="P102" s="14">
        <f>IF(O102="TAK",-(K102+L102+N102),I102-J102-K102-L102-N102)</f>
        <v/>
      </c>
      <c r="Q102" s="15">
        <f>IF(I102=0,0,P102/I102)</f>
        <v/>
      </c>
    </row>
    <row r="103">
      <c r="A103" t="inlineStr">
        <is>
          <t>2026-06-25</t>
        </is>
      </c>
      <c r="B103" t="inlineStr">
        <is>
          <t>Allegro</t>
        </is>
      </c>
      <c r="C103" t="inlineStr">
        <is>
          <t>PL</t>
        </is>
      </c>
      <c r="D103" t="inlineStr">
        <is>
          <t>STO-100</t>
        </is>
      </c>
      <c r="E103" t="n">
        <v>3</v>
      </c>
      <c r="F103" t="n">
        <v>433.83</v>
      </c>
      <c r="G103" t="inlineStr">
        <is>
          <t>PLN</t>
        </is>
      </c>
      <c r="H103" s="13">
        <f>IF(G103="PLN",1,IF(G103="EUR",VLOOKUP(A103,Kursy!$A$4:$C$33,2,FALSE),VLOOKUP(A103,Kursy!$A$4:$C$33,3,FALSE)))</f>
        <v/>
      </c>
      <c r="I103" s="14">
        <f>ROUND(F103*H103,2)</f>
        <v/>
      </c>
      <c r="J103" s="14">
        <f>ROUND(I103*0.5417,2)</f>
        <v/>
      </c>
      <c r="K103" s="14">
        <f>ROUND(I103*0.09,2)</f>
        <v/>
      </c>
      <c r="L103" s="14" t="n">
        <v>3.19</v>
      </c>
      <c r="M103" t="inlineStr">
        <is>
          <t>DHL6795522649</t>
        </is>
      </c>
      <c r="N103" s="14" t="n">
        <v>33.82</v>
      </c>
      <c r="O103" t="inlineStr"/>
      <c r="P103" s="14">
        <f>IF(O103="TAK",-(K103+L103+N103),I103-J103-K103-L103-N103)</f>
        <v/>
      </c>
      <c r="Q103" s="15">
        <f>IF(I103=0,0,P103/I103)</f>
        <v/>
      </c>
    </row>
    <row r="104">
      <c r="A104" t="inlineStr">
        <is>
          <t>2026-06-07</t>
        </is>
      </c>
      <c r="B104" t="inlineStr">
        <is>
          <t>Amazon</t>
        </is>
      </c>
      <c r="C104" t="inlineStr">
        <is>
          <t>IT</t>
        </is>
      </c>
      <c r="D104" t="inlineStr">
        <is>
          <t>KRZ-011</t>
        </is>
      </c>
      <c r="E104" t="n">
        <v>1</v>
      </c>
      <c r="F104" t="n">
        <v>125.76</v>
      </c>
      <c r="G104" t="inlineStr">
        <is>
          <t>EUR</t>
        </is>
      </c>
      <c r="H104" s="13">
        <f>IF(G104="PLN",1,IF(G104="EUR",VLOOKUP(A104,Kursy!$A$4:$C$33,2,FALSE),VLOOKUP(A104,Kursy!$A$4:$C$33,3,FALSE)))</f>
        <v/>
      </c>
      <c r="I104" s="14">
        <f>ROUND(F104*H104,2)</f>
        <v/>
      </c>
      <c r="J104" s="14">
        <f>ROUND(I104*0.4845,2)</f>
        <v/>
      </c>
      <c r="K104" s="14">
        <f>ROUND(I104*0.15,2)</f>
        <v/>
      </c>
      <c r="L104" s="14" t="n">
        <v>21.26</v>
      </c>
      <c r="M104" t="inlineStr">
        <is>
          <t>DHL7417183769</t>
        </is>
      </c>
      <c r="N104" s="14" t="n">
        <v>34.63</v>
      </c>
      <c r="O104" t="inlineStr"/>
      <c r="P104" s="14">
        <f>IF(O104="TAK",-(K104+L104+N104),I104-J104-K104-L104-N104)</f>
        <v/>
      </c>
      <c r="Q104" s="15">
        <f>IF(I104=0,0,P104/I104)</f>
        <v/>
      </c>
    </row>
    <row r="105">
      <c r="A105" t="inlineStr">
        <is>
          <t>2026-06-03</t>
        </is>
      </c>
      <c r="B105" t="inlineStr">
        <is>
          <t>Allegro</t>
        </is>
      </c>
      <c r="C105" t="inlineStr">
        <is>
          <t>CZ</t>
        </is>
      </c>
      <c r="D105" t="inlineStr">
        <is>
          <t>DYW-220</t>
        </is>
      </c>
      <c r="E105" t="n">
        <v>3</v>
      </c>
      <c r="F105" t="n">
        <v>380.67</v>
      </c>
      <c r="G105" t="inlineStr">
        <is>
          <t>CZK</t>
        </is>
      </c>
      <c r="H105" s="13">
        <f>IF(G105="PLN",1,IF(G105="EUR",VLOOKUP(A105,Kursy!$A$4:$C$33,2,FALSE),VLOOKUP(A105,Kursy!$A$4:$C$33,3,FALSE)))</f>
        <v/>
      </c>
      <c r="I105" s="14">
        <f>ROUND(F105*H105,2)</f>
        <v/>
      </c>
      <c r="J105" s="14">
        <f>ROUND(I105*0.561,2)</f>
        <v/>
      </c>
      <c r="K105" s="14">
        <f>ROUND(I105*0.09,2)</f>
        <v/>
      </c>
      <c r="L105" s="14" t="n">
        <v>22.3</v>
      </c>
      <c r="M105" t="inlineStr">
        <is>
          <t>DHL5613613759</t>
        </is>
      </c>
      <c r="N105" s="14" t="n">
        <v>25.85</v>
      </c>
      <c r="O105" t="inlineStr"/>
      <c r="P105" s="14">
        <f>IF(O105="TAK",-(K105+L105+N105),I105-J105-K105-L105-N105)</f>
        <v/>
      </c>
      <c r="Q105" s="15">
        <f>IF(I105=0,0,P105/I105)</f>
        <v/>
      </c>
    </row>
    <row r="106">
      <c r="A106" t="inlineStr">
        <is>
          <t>2026-06-03</t>
        </is>
      </c>
      <c r="B106" t="inlineStr">
        <is>
          <t>Amazon</t>
        </is>
      </c>
      <c r="C106" t="inlineStr">
        <is>
          <t>DE</t>
        </is>
      </c>
      <c r="D106" t="inlineStr">
        <is>
          <t>LMP-001</t>
        </is>
      </c>
      <c r="E106" t="n">
        <v>3</v>
      </c>
      <c r="F106" t="n">
        <v>893.28</v>
      </c>
      <c r="G106" t="inlineStr">
        <is>
          <t>EUR</t>
        </is>
      </c>
      <c r="H106" s="13">
        <f>IF(G106="PLN",1,IF(G106="EUR",VLOOKUP(A106,Kursy!$A$4:$C$33,2,FALSE),VLOOKUP(A106,Kursy!$A$4:$C$33,3,FALSE)))</f>
        <v/>
      </c>
      <c r="I106" s="14">
        <f>ROUND(F106*H106,2)</f>
        <v/>
      </c>
      <c r="J106" s="14">
        <f>ROUND(I106*0.6164,2)</f>
        <v/>
      </c>
      <c r="K106" s="14">
        <f>ROUND(I106*0.15,2)</f>
        <v/>
      </c>
      <c r="L106" s="14" t="n">
        <v>2.53</v>
      </c>
      <c r="M106" t="inlineStr">
        <is>
          <t>DPD4847761430</t>
        </is>
      </c>
      <c r="N106" s="14" t="n">
        <v>25.49</v>
      </c>
      <c r="O106" t="inlineStr"/>
      <c r="P106" s="14">
        <f>IF(O106="TAK",-(K106+L106+N106),I106-J106-K106-L106-N106)</f>
        <v/>
      </c>
      <c r="Q106" s="15">
        <f>IF(I106=0,0,P106/I106)</f>
        <v/>
      </c>
    </row>
    <row r="107">
      <c r="A107" t="inlineStr">
        <is>
          <t>2026-06-02</t>
        </is>
      </c>
      <c r="B107" t="inlineStr">
        <is>
          <t>Amazon</t>
        </is>
      </c>
      <c r="C107" t="inlineStr">
        <is>
          <t>ES</t>
        </is>
      </c>
      <c r="D107" t="inlineStr">
        <is>
          <t>DYW-220</t>
        </is>
      </c>
      <c r="E107" t="n">
        <v>4</v>
      </c>
      <c r="F107" t="n">
        <v>859.36</v>
      </c>
      <c r="G107" t="inlineStr">
        <is>
          <t>EUR</t>
        </is>
      </c>
      <c r="H107" s="13">
        <f>IF(G107="PLN",1,IF(G107="EUR",VLOOKUP(A107,Kursy!$A$4:$C$33,2,FALSE),VLOOKUP(A107,Kursy!$A$4:$C$33,3,FALSE)))</f>
        <v/>
      </c>
      <c r="I107" s="14">
        <f>ROUND(F107*H107,2)</f>
        <v/>
      </c>
      <c r="J107" s="14">
        <f>ROUND(I107*0.5898,2)</f>
        <v/>
      </c>
      <c r="K107" s="14">
        <f>ROUND(I107*0.15,2)</f>
        <v/>
      </c>
      <c r="L107" s="14" t="n">
        <v>23.45</v>
      </c>
      <c r="M107" t="inlineStr">
        <is>
          <t>DHL1741134891</t>
        </is>
      </c>
      <c r="N107" s="14" t="n">
        <v>19.43</v>
      </c>
      <c r="O107" t="inlineStr"/>
      <c r="P107" s="14">
        <f>IF(O107="TAK",-(K107+L107+N107),I107-J107-K107-L107-N107)</f>
        <v/>
      </c>
      <c r="Q107" s="15">
        <f>IF(I107=0,0,P107/I107)</f>
        <v/>
      </c>
    </row>
    <row r="108">
      <c r="A108" t="inlineStr">
        <is>
          <t>2026-06-30</t>
        </is>
      </c>
      <c r="B108" t="inlineStr">
        <is>
          <t>Allegro</t>
        </is>
      </c>
      <c r="C108" t="inlineStr">
        <is>
          <t>CZ</t>
        </is>
      </c>
      <c r="D108" t="inlineStr">
        <is>
          <t>ZEG-440</t>
        </is>
      </c>
      <c r="E108" t="n">
        <v>2</v>
      </c>
      <c r="F108" t="n">
        <v>360.68</v>
      </c>
      <c r="G108" t="inlineStr">
        <is>
          <t>CZK</t>
        </is>
      </c>
      <c r="H108" s="13">
        <f>IF(G108="PLN",1,IF(G108="EUR",VLOOKUP(A108,Kursy!$A$4:$C$33,2,FALSE),VLOOKUP(A108,Kursy!$A$4:$C$33,3,FALSE)))</f>
        <v/>
      </c>
      <c r="I108" s="14">
        <f>ROUND(F108*H108,2)</f>
        <v/>
      </c>
      <c r="J108" s="14">
        <f>ROUND(I108*0.5254,2)</f>
        <v/>
      </c>
      <c r="K108" s="14">
        <f>ROUND(I108*0.09,2)</f>
        <v/>
      </c>
      <c r="L108" s="14" t="n">
        <v>9.470000000000001</v>
      </c>
      <c r="M108" t="inlineStr">
        <is>
          <t>DHL8075122626</t>
        </is>
      </c>
      <c r="N108" s="14" t="n">
        <v>13.98</v>
      </c>
      <c r="O108" t="inlineStr"/>
      <c r="P108" s="14">
        <f>IF(O108="TAK",-(K108+L108+N108),I108-J108-K108-L108-N108)</f>
        <v/>
      </c>
      <c r="Q108" s="15">
        <f>IF(I108=0,0,P108/I108)</f>
        <v/>
      </c>
    </row>
    <row r="109">
      <c r="A109" t="inlineStr">
        <is>
          <t>2026-06-28</t>
        </is>
      </c>
      <c r="B109" t="inlineStr">
        <is>
          <t>Amazon</t>
        </is>
      </c>
      <c r="C109" t="inlineStr">
        <is>
          <t>FR</t>
        </is>
      </c>
      <c r="D109" t="inlineStr">
        <is>
          <t>POL-330</t>
        </is>
      </c>
      <c r="E109" t="n">
        <v>3</v>
      </c>
      <c r="F109" t="n">
        <v>456.75</v>
      </c>
      <c r="G109" t="inlineStr">
        <is>
          <t>EUR</t>
        </is>
      </c>
      <c r="H109" s="13">
        <f>IF(G109="PLN",1,IF(G109="EUR",VLOOKUP(A109,Kursy!$A$4:$C$33,2,FALSE),VLOOKUP(A109,Kursy!$A$4:$C$33,3,FALSE)))</f>
        <v/>
      </c>
      <c r="I109" s="14">
        <f>ROUND(F109*H109,2)</f>
        <v/>
      </c>
      <c r="J109" s="14">
        <f>ROUND(I109*0.605,2)</f>
        <v/>
      </c>
      <c r="K109" s="14">
        <f>ROUND(I109*0.15,2)</f>
        <v/>
      </c>
      <c r="L109" s="14" t="n">
        <v>24.45</v>
      </c>
      <c r="M109" t="inlineStr">
        <is>
          <t>DPD9939982945</t>
        </is>
      </c>
      <c r="N109" s="14" t="n">
        <v>31.91</v>
      </c>
      <c r="O109" t="inlineStr"/>
      <c r="P109" s="14">
        <f>IF(O109="TAK",-(K109+L109+N109),I109-J109-K109-L109-N109)</f>
        <v/>
      </c>
      <c r="Q109" s="15">
        <f>IF(I109=0,0,P109/I109)</f>
        <v/>
      </c>
    </row>
    <row r="110">
      <c r="A110" t="inlineStr">
        <is>
          <t>2026-06-23</t>
        </is>
      </c>
      <c r="B110" t="inlineStr">
        <is>
          <t>eBay</t>
        </is>
      </c>
      <c r="C110" t="inlineStr">
        <is>
          <t>FR</t>
        </is>
      </c>
      <c r="D110" t="inlineStr">
        <is>
          <t>STO-100</t>
        </is>
      </c>
      <c r="E110" t="n">
        <v>4</v>
      </c>
      <c r="F110" t="n">
        <v>485.48</v>
      </c>
      <c r="G110" t="inlineStr">
        <is>
          <t>EUR</t>
        </is>
      </c>
      <c r="H110" s="13">
        <f>IF(G110="PLN",1,IF(G110="EUR",VLOOKUP(A110,Kursy!$A$4:$C$33,2,FALSE),VLOOKUP(A110,Kursy!$A$4:$C$33,3,FALSE)))</f>
        <v/>
      </c>
      <c r="I110" s="14">
        <f>ROUND(F110*H110,2)</f>
        <v/>
      </c>
      <c r="J110" s="14">
        <f>ROUND(I110*0.5095,2)</f>
        <v/>
      </c>
      <c r="K110" s="14">
        <f>ROUND(I110*0.11,2)</f>
        <v/>
      </c>
      <c r="L110" s="14" t="n">
        <v>10.55</v>
      </c>
      <c r="M110" t="inlineStr">
        <is>
          <t>DPD4492602049</t>
        </is>
      </c>
      <c r="N110" s="14" t="n">
        <v>32.1</v>
      </c>
      <c r="O110" t="inlineStr"/>
      <c r="P110" s="14">
        <f>IF(O110="TAK",-(K110+L110+N110),I110-J110-K110-L110-N110)</f>
        <v/>
      </c>
      <c r="Q110" s="15">
        <f>IF(I110=0,0,P110/I110)</f>
        <v/>
      </c>
    </row>
    <row r="111">
      <c r="A111" t="inlineStr">
        <is>
          <t>2026-06-01</t>
        </is>
      </c>
      <c r="B111" t="inlineStr">
        <is>
          <t>PrestaShop</t>
        </is>
      </c>
      <c r="C111" t="inlineStr">
        <is>
          <t>PL</t>
        </is>
      </c>
      <c r="D111" t="inlineStr">
        <is>
          <t>LMP-002</t>
        </is>
      </c>
      <c r="E111" t="n">
        <v>4</v>
      </c>
      <c r="F111" t="n">
        <v>866.52</v>
      </c>
      <c r="G111" t="inlineStr">
        <is>
          <t>PLN</t>
        </is>
      </c>
      <c r="H111" s="13">
        <f>IF(G111="PLN",1,IF(G111="EUR",VLOOKUP(A111,Kursy!$A$4:$C$33,2,FALSE),VLOOKUP(A111,Kursy!$A$4:$C$33,3,FALSE)))</f>
        <v/>
      </c>
      <c r="I111" s="14">
        <f>ROUND(F111*H111,2)</f>
        <v/>
      </c>
      <c r="J111" s="14">
        <f>ROUND(I111*0.4888,2)</f>
        <v/>
      </c>
      <c r="K111" s="14">
        <f>ROUND(I111*0.0,2)</f>
        <v/>
      </c>
      <c r="L111" s="14" t="n">
        <v>6</v>
      </c>
      <c r="M111" t="inlineStr">
        <is>
          <t>DPD1824656200</t>
        </is>
      </c>
      <c r="N111" s="14" t="n">
        <v>42</v>
      </c>
      <c r="O111" t="inlineStr"/>
      <c r="P111" s="14">
        <f>IF(O111="TAK",-(K111+L111+N111),I111-J111-K111-L111-N111)</f>
        <v/>
      </c>
      <c r="Q111" s="15">
        <f>IF(I111=0,0,P111/I111)</f>
        <v/>
      </c>
    </row>
    <row r="112">
      <c r="A112" t="inlineStr">
        <is>
          <t>2026-06-04</t>
        </is>
      </c>
      <c r="B112" t="inlineStr">
        <is>
          <t>Amazon</t>
        </is>
      </c>
      <c r="C112" t="inlineStr">
        <is>
          <t>IT</t>
        </is>
      </c>
      <c r="D112" t="inlineStr">
        <is>
          <t>LMP-002</t>
        </is>
      </c>
      <c r="E112" t="n">
        <v>3</v>
      </c>
      <c r="F112" t="n">
        <v>902.85</v>
      </c>
      <c r="G112" t="inlineStr">
        <is>
          <t>EUR</t>
        </is>
      </c>
      <c r="H112" s="13">
        <f>IF(G112="PLN",1,IF(G112="EUR",VLOOKUP(A112,Kursy!$A$4:$C$33,2,FALSE),VLOOKUP(A112,Kursy!$A$4:$C$33,3,FALSE)))</f>
        <v/>
      </c>
      <c r="I112" s="14">
        <f>ROUND(F112*H112,2)</f>
        <v/>
      </c>
      <c r="J112" s="14">
        <f>ROUND(I112*0.5464,2)</f>
        <v/>
      </c>
      <c r="K112" s="14">
        <f>ROUND(I112*0.15,2)</f>
        <v/>
      </c>
      <c r="L112" s="14" t="n">
        <v>20.68</v>
      </c>
      <c r="M112" t="inlineStr">
        <is>
          <t>DHL8137931739</t>
        </is>
      </c>
      <c r="N112" s="14" t="n">
        <v>38.29</v>
      </c>
      <c r="O112" t="inlineStr"/>
      <c r="P112" s="14">
        <f>IF(O112="TAK",-(K112+L112+N112),I112-J112-K112-L112-N112)</f>
        <v/>
      </c>
      <c r="Q112" s="15">
        <f>IF(I112=0,0,P112/I112)</f>
        <v/>
      </c>
    </row>
    <row r="113">
      <c r="A113" t="inlineStr">
        <is>
          <t>2026-06-27</t>
        </is>
      </c>
      <c r="B113" t="inlineStr">
        <is>
          <t>Amazon</t>
        </is>
      </c>
      <c r="C113" t="inlineStr">
        <is>
          <t>IT</t>
        </is>
      </c>
      <c r="D113" t="inlineStr">
        <is>
          <t>POL-330</t>
        </is>
      </c>
      <c r="E113" t="n">
        <v>2</v>
      </c>
      <c r="F113" t="n">
        <v>259.44</v>
      </c>
      <c r="G113" t="inlineStr">
        <is>
          <t>EUR</t>
        </is>
      </c>
      <c r="H113" s="13">
        <f>IF(G113="PLN",1,IF(G113="EUR",VLOOKUP(A113,Kursy!$A$4:$C$33,2,FALSE),VLOOKUP(A113,Kursy!$A$4:$C$33,3,FALSE)))</f>
        <v/>
      </c>
      <c r="I113" s="14">
        <f>ROUND(F113*H113,2)</f>
        <v/>
      </c>
      <c r="J113" s="14">
        <f>ROUND(I113*0.56,2)</f>
        <v/>
      </c>
      <c r="K113" s="14">
        <f>ROUND(I113*0.15,2)</f>
        <v/>
      </c>
      <c r="L113" s="14" t="n">
        <v>25.27</v>
      </c>
      <c r="M113" t="inlineStr">
        <is>
          <t>DPD5482624860</t>
        </is>
      </c>
      <c r="N113" s="14" t="n">
        <v>22.93</v>
      </c>
      <c r="O113" t="inlineStr"/>
      <c r="P113" s="14">
        <f>IF(O113="TAK",-(K113+L113+N113),I113-J113-K113-L113-N113)</f>
        <v/>
      </c>
      <c r="Q113" s="15">
        <f>IF(I113=0,0,P113/I113)</f>
        <v/>
      </c>
    </row>
    <row r="114">
      <c r="A114" t="inlineStr">
        <is>
          <t>2026-06-26</t>
        </is>
      </c>
      <c r="B114" t="inlineStr">
        <is>
          <t>Amazon</t>
        </is>
      </c>
      <c r="C114" t="inlineStr">
        <is>
          <t>ES</t>
        </is>
      </c>
      <c r="D114" t="inlineStr">
        <is>
          <t>ZEG-440</t>
        </is>
      </c>
      <c r="E114" t="n">
        <v>3</v>
      </c>
      <c r="F114" t="n">
        <v>833.55</v>
      </c>
      <c r="G114" t="inlineStr">
        <is>
          <t>EUR</t>
        </is>
      </c>
      <c r="H114" s="13">
        <f>IF(G114="PLN",1,IF(G114="EUR",VLOOKUP(A114,Kursy!$A$4:$C$33,2,FALSE),VLOOKUP(A114,Kursy!$A$4:$C$33,3,FALSE)))</f>
        <v/>
      </c>
      <c r="I114" s="14">
        <f>ROUND(F114*H114,2)</f>
        <v/>
      </c>
      <c r="J114" s="14">
        <f>ROUND(I114*0.5454,2)</f>
        <v/>
      </c>
      <c r="K114" s="14">
        <f>ROUND(I114*0.15,2)</f>
        <v/>
      </c>
      <c r="L114" s="14" t="n">
        <v>8.67</v>
      </c>
      <c r="M114" t="inlineStr">
        <is>
          <t>DPD6128260438</t>
        </is>
      </c>
      <c r="N114" s="14" t="n">
        <v>32.35</v>
      </c>
      <c r="O114" t="inlineStr"/>
      <c r="P114" s="14">
        <f>IF(O114="TAK",-(K114+L114+N114),I114-J114-K114-L114-N114)</f>
        <v/>
      </c>
      <c r="Q114" s="15">
        <f>IF(I114=0,0,P114/I114)</f>
        <v/>
      </c>
    </row>
    <row r="115">
      <c r="A115" t="inlineStr">
        <is>
          <t>2026-06-17</t>
        </is>
      </c>
      <c r="B115" t="inlineStr">
        <is>
          <t>Allegro</t>
        </is>
      </c>
      <c r="C115" t="inlineStr">
        <is>
          <t>CZ</t>
        </is>
      </c>
      <c r="D115" t="inlineStr">
        <is>
          <t>ZEG-440</t>
        </is>
      </c>
      <c r="E115" t="n">
        <v>3</v>
      </c>
      <c r="F115" t="n">
        <v>852.9299999999999</v>
      </c>
      <c r="G115" t="inlineStr">
        <is>
          <t>CZK</t>
        </is>
      </c>
      <c r="H115" s="13">
        <f>IF(G115="PLN",1,IF(G115="EUR",VLOOKUP(A115,Kursy!$A$4:$C$33,2,FALSE),VLOOKUP(A115,Kursy!$A$4:$C$33,3,FALSE)))</f>
        <v/>
      </c>
      <c r="I115" s="14">
        <f>ROUND(F115*H115,2)</f>
        <v/>
      </c>
      <c r="J115" s="14">
        <f>ROUND(I115*0.6146,2)</f>
        <v/>
      </c>
      <c r="K115" s="14">
        <f>ROUND(I115*0.09,2)</f>
        <v/>
      </c>
      <c r="L115" s="14" t="n">
        <v>22.87</v>
      </c>
      <c r="M115" t="inlineStr">
        <is>
          <t>DHL9044482007</t>
        </is>
      </c>
      <c r="N115" s="14" t="n">
        <v>13.57</v>
      </c>
      <c r="O115" t="inlineStr"/>
      <c r="P115" s="14">
        <f>IF(O115="TAK",-(K115+L115+N115),I115-J115-K115-L115-N115)</f>
        <v/>
      </c>
      <c r="Q115" s="15">
        <f>IF(I115=0,0,P115/I115)</f>
        <v/>
      </c>
    </row>
    <row r="116">
      <c r="A116" t="inlineStr">
        <is>
          <t>2026-06-17</t>
        </is>
      </c>
      <c r="B116" t="inlineStr">
        <is>
          <t>Allegro</t>
        </is>
      </c>
      <c r="C116" t="inlineStr">
        <is>
          <t>CZ</t>
        </is>
      </c>
      <c r="D116" t="inlineStr">
        <is>
          <t>DYW-220</t>
        </is>
      </c>
      <c r="E116" t="n">
        <v>1</v>
      </c>
      <c r="F116" t="n">
        <v>267.56</v>
      </c>
      <c r="G116" t="inlineStr">
        <is>
          <t>CZK</t>
        </is>
      </c>
      <c r="H116" s="13">
        <f>IF(G116="PLN",1,IF(G116="EUR",VLOOKUP(A116,Kursy!$A$4:$C$33,2,FALSE),VLOOKUP(A116,Kursy!$A$4:$C$33,3,FALSE)))</f>
        <v/>
      </c>
      <c r="I116" s="14">
        <f>ROUND(F116*H116,2)</f>
        <v/>
      </c>
      <c r="J116" s="14">
        <f>ROUND(I116*0.5056,2)</f>
        <v/>
      </c>
      <c r="K116" s="14">
        <f>ROUND(I116*0.09,2)</f>
        <v/>
      </c>
      <c r="L116" s="14" t="n">
        <v>21.37</v>
      </c>
      <c r="M116" t="inlineStr">
        <is>
          <t>DPD3204833223</t>
        </is>
      </c>
      <c r="N116" s="14" t="n">
        <v>36.93</v>
      </c>
      <c r="O116" t="inlineStr"/>
      <c r="P116" s="14">
        <f>IF(O116="TAK",-(K116+L116+N116),I116-J116-K116-L116-N116)</f>
        <v/>
      </c>
      <c r="Q116" s="15">
        <f>IF(I116=0,0,P116/I116)</f>
        <v/>
      </c>
    </row>
    <row r="117">
      <c r="A117" t="inlineStr">
        <is>
          <t>2026-06-30</t>
        </is>
      </c>
      <c r="B117" t="inlineStr">
        <is>
          <t>Amazon</t>
        </is>
      </c>
      <c r="C117" t="inlineStr">
        <is>
          <t>FR</t>
        </is>
      </c>
      <c r="D117" t="inlineStr">
        <is>
          <t>KRZ-011</t>
        </is>
      </c>
      <c r="E117" t="n">
        <v>4</v>
      </c>
      <c r="F117" t="n">
        <v>1244.16</v>
      </c>
      <c r="G117" t="inlineStr">
        <is>
          <t>EUR</t>
        </is>
      </c>
      <c r="H117" s="13">
        <f>IF(G117="PLN",1,IF(G117="EUR",VLOOKUP(A117,Kursy!$A$4:$C$33,2,FALSE),VLOOKUP(A117,Kursy!$A$4:$C$33,3,FALSE)))</f>
        <v/>
      </c>
      <c r="I117" s="14">
        <f>ROUND(F117*H117,2)</f>
        <v/>
      </c>
      <c r="J117" s="14">
        <f>ROUND(I117*0.4685,2)</f>
        <v/>
      </c>
      <c r="K117" s="14">
        <f>ROUND(I117*0.15,2)</f>
        <v/>
      </c>
      <c r="L117" s="14" t="n">
        <v>14.06</v>
      </c>
      <c r="M117" t="inlineStr">
        <is>
          <t>DHL5645459980</t>
        </is>
      </c>
      <c r="N117" s="14" t="n">
        <v>18.74</v>
      </c>
      <c r="O117" t="inlineStr">
        <is>
          <t>TAK</t>
        </is>
      </c>
      <c r="P117" s="14">
        <f>IF(O117="TAK",-(K117+L117+N117),I117-J117-K117-L117-N117)</f>
        <v/>
      </c>
      <c r="Q117" s="15">
        <f>IF(I117=0,0,P117/I117)</f>
        <v/>
      </c>
    </row>
    <row r="118">
      <c r="A118" t="inlineStr">
        <is>
          <t>2026-06-05</t>
        </is>
      </c>
      <c r="B118" t="inlineStr">
        <is>
          <t>eBay</t>
        </is>
      </c>
      <c r="C118" t="inlineStr">
        <is>
          <t>FR</t>
        </is>
      </c>
      <c r="D118" t="inlineStr">
        <is>
          <t>LMP-002</t>
        </is>
      </c>
      <c r="E118" t="n">
        <v>3</v>
      </c>
      <c r="F118" t="n">
        <v>862.92</v>
      </c>
      <c r="G118" t="inlineStr">
        <is>
          <t>EUR</t>
        </is>
      </c>
      <c r="H118" s="13">
        <f>IF(G118="PLN",1,IF(G118="EUR",VLOOKUP(A118,Kursy!$A$4:$C$33,2,FALSE),VLOOKUP(A118,Kursy!$A$4:$C$33,3,FALSE)))</f>
        <v/>
      </c>
      <c r="I118" s="14">
        <f>ROUND(F118*H118,2)</f>
        <v/>
      </c>
      <c r="J118" s="14">
        <f>ROUND(I118*0.6068,2)</f>
        <v/>
      </c>
      <c r="K118" s="14">
        <f>ROUND(I118*0.11,2)</f>
        <v/>
      </c>
      <c r="L118" s="14" t="n">
        <v>13.23</v>
      </c>
      <c r="M118" t="inlineStr">
        <is>
          <t>DHL7309779967</t>
        </is>
      </c>
      <c r="N118" s="14" t="n">
        <v>30.46</v>
      </c>
      <c r="O118" t="inlineStr">
        <is>
          <t>TAK</t>
        </is>
      </c>
      <c r="P118" s="14">
        <f>IF(O118="TAK",-(K118+L118+N118),I118-J118-K118-L118-N118)</f>
        <v/>
      </c>
      <c r="Q118" s="15">
        <f>IF(I118=0,0,P118/I118)</f>
        <v/>
      </c>
    </row>
    <row r="119">
      <c r="A119" t="inlineStr">
        <is>
          <t>2026-06-05</t>
        </is>
      </c>
      <c r="B119" t="inlineStr">
        <is>
          <t>Amazon</t>
        </is>
      </c>
      <c r="C119" t="inlineStr">
        <is>
          <t>FR</t>
        </is>
      </c>
      <c r="D119" t="inlineStr">
        <is>
          <t>LMP-001</t>
        </is>
      </c>
      <c r="E119" t="n">
        <v>3</v>
      </c>
      <c r="F119" t="n">
        <v>429.39</v>
      </c>
      <c r="G119" t="inlineStr">
        <is>
          <t>EUR</t>
        </is>
      </c>
      <c r="H119" s="13">
        <f>IF(G119="PLN",1,IF(G119="EUR",VLOOKUP(A119,Kursy!$A$4:$C$33,2,FALSE),VLOOKUP(A119,Kursy!$A$4:$C$33,3,FALSE)))</f>
        <v/>
      </c>
      <c r="I119" s="14">
        <f>ROUND(F119*H119,2)</f>
        <v/>
      </c>
      <c r="J119" s="14">
        <f>ROUND(I119*0.5764,2)</f>
        <v/>
      </c>
      <c r="K119" s="14">
        <f>ROUND(I119*0.15,2)</f>
        <v/>
      </c>
      <c r="L119" s="14" t="n">
        <v>14.78</v>
      </c>
      <c r="M119" t="inlineStr">
        <is>
          <t>DHL8628603366</t>
        </is>
      </c>
      <c r="N119" s="14" t="n">
        <v>19.13</v>
      </c>
      <c r="O119" t="inlineStr"/>
      <c r="P119" s="14">
        <f>IF(O119="TAK",-(K119+L119+N119),I119-J119-K119-L119-N119)</f>
        <v/>
      </c>
      <c r="Q119" s="15">
        <f>IF(I119=0,0,P119/I119)</f>
        <v/>
      </c>
    </row>
    <row r="120">
      <c r="A120" t="inlineStr">
        <is>
          <t>2026-06-26</t>
        </is>
      </c>
      <c r="B120" t="inlineStr">
        <is>
          <t>Amazon</t>
        </is>
      </c>
      <c r="C120" t="inlineStr">
        <is>
          <t>FR</t>
        </is>
      </c>
      <c r="D120" t="inlineStr">
        <is>
          <t>LMP-001</t>
        </is>
      </c>
      <c r="E120" t="n">
        <v>2</v>
      </c>
      <c r="F120" t="n">
        <v>388.76</v>
      </c>
      <c r="G120" t="inlineStr">
        <is>
          <t>EUR</t>
        </is>
      </c>
      <c r="H120" s="13">
        <f>IF(G120="PLN",1,IF(G120="EUR",VLOOKUP(A120,Kursy!$A$4:$C$33,2,FALSE),VLOOKUP(A120,Kursy!$A$4:$C$33,3,FALSE)))</f>
        <v/>
      </c>
      <c r="I120" s="14">
        <f>ROUND(F120*H120,2)</f>
        <v/>
      </c>
      <c r="J120" s="14">
        <f>ROUND(I120*0.47,2)</f>
        <v/>
      </c>
      <c r="K120" s="14">
        <f>ROUND(I120*0.15,2)</f>
        <v/>
      </c>
      <c r="L120" s="14" t="n">
        <v>23.43</v>
      </c>
      <c r="M120" t="inlineStr">
        <is>
          <t>DPD9660523876</t>
        </is>
      </c>
      <c r="N120" s="14" t="n">
        <v>27.46</v>
      </c>
      <c r="O120" t="inlineStr"/>
      <c r="P120" s="14">
        <f>IF(O120="TAK",-(K120+L120+N120),I120-J120-K120-L120-N120)</f>
        <v/>
      </c>
      <c r="Q120" s="15">
        <f>IF(I120=0,0,P120/I120)</f>
        <v/>
      </c>
    </row>
    <row r="121">
      <c r="A121" t="inlineStr">
        <is>
          <t>2026-06-20</t>
        </is>
      </c>
      <c r="B121" t="inlineStr">
        <is>
          <t>Amazon</t>
        </is>
      </c>
      <c r="C121" t="inlineStr">
        <is>
          <t>ES</t>
        </is>
      </c>
      <c r="D121" t="inlineStr">
        <is>
          <t>KRZ-010</t>
        </is>
      </c>
      <c r="E121" t="n">
        <v>3</v>
      </c>
      <c r="F121" t="n">
        <v>590.22</v>
      </c>
      <c r="G121" t="inlineStr">
        <is>
          <t>EUR</t>
        </is>
      </c>
      <c r="H121" s="13">
        <f>IF(G121="PLN",1,IF(G121="EUR",VLOOKUP(A121,Kursy!$A$4:$C$33,2,FALSE),VLOOKUP(A121,Kursy!$A$4:$C$33,3,FALSE)))</f>
        <v/>
      </c>
      <c r="I121" s="14">
        <f>ROUND(F121*H121,2)</f>
        <v/>
      </c>
      <c r="J121" s="14">
        <f>ROUND(I121*0.5513,2)</f>
        <v/>
      </c>
      <c r="K121" s="14">
        <f>ROUND(I121*0.15,2)</f>
        <v/>
      </c>
      <c r="L121" s="14" t="n">
        <v>5.24</v>
      </c>
      <c r="M121" t="inlineStr">
        <is>
          <t>DHL2548781344</t>
        </is>
      </c>
      <c r="N121" s="14" t="n">
        <v>40.6</v>
      </c>
      <c r="O121" t="inlineStr"/>
      <c r="P121" s="14">
        <f>IF(O121="TAK",-(K121+L121+N121),I121-J121-K121-L121-N121)</f>
        <v/>
      </c>
      <c r="Q121" s="15">
        <f>IF(I121=0,0,P121/I121)</f>
        <v/>
      </c>
    </row>
    <row r="122">
      <c r="A122" t="inlineStr">
        <is>
          <t>2026-06-02</t>
        </is>
      </c>
      <c r="B122" t="inlineStr">
        <is>
          <t>PrestaShop</t>
        </is>
      </c>
      <c r="C122" t="inlineStr">
        <is>
          <t>PL</t>
        </is>
      </c>
      <c r="D122" t="inlineStr">
        <is>
          <t>LMP-001</t>
        </is>
      </c>
      <c r="E122" t="n">
        <v>4</v>
      </c>
      <c r="F122" t="n">
        <v>1232.84</v>
      </c>
      <c r="G122" t="inlineStr">
        <is>
          <t>PLN</t>
        </is>
      </c>
      <c r="H122" s="13">
        <f>IF(G122="PLN",1,IF(G122="EUR",VLOOKUP(A122,Kursy!$A$4:$C$33,2,FALSE),VLOOKUP(A122,Kursy!$A$4:$C$33,3,FALSE)))</f>
        <v/>
      </c>
      <c r="I122" s="14">
        <f>ROUND(F122*H122,2)</f>
        <v/>
      </c>
      <c r="J122" s="14">
        <f>ROUND(I122*0.617,2)</f>
        <v/>
      </c>
      <c r="K122" s="14">
        <f>ROUND(I122*0.0,2)</f>
        <v/>
      </c>
      <c r="L122" s="14" t="n">
        <v>7.1</v>
      </c>
      <c r="M122" t="inlineStr">
        <is>
          <t>DHL5585133383</t>
        </is>
      </c>
      <c r="N122" s="14" t="n">
        <v>19.23</v>
      </c>
      <c r="O122" t="inlineStr"/>
      <c r="P122" s="14">
        <f>IF(O122="TAK",-(K122+L122+N122),I122-J122-K122-L122-N122)</f>
        <v/>
      </c>
      <c r="Q122" s="15">
        <f>IF(I122=0,0,P122/I122)</f>
        <v/>
      </c>
    </row>
    <row r="123">
      <c r="A123" t="inlineStr">
        <is>
          <t>2026-06-18</t>
        </is>
      </c>
      <c r="B123" t="inlineStr">
        <is>
          <t>Amazon</t>
        </is>
      </c>
      <c r="C123" t="inlineStr">
        <is>
          <t>FR</t>
        </is>
      </c>
      <c r="D123" t="inlineStr">
        <is>
          <t>DYW-220</t>
        </is>
      </c>
      <c r="E123" t="n">
        <v>2</v>
      </c>
      <c r="F123" t="n">
        <v>200.26</v>
      </c>
      <c r="G123" t="inlineStr">
        <is>
          <t>EUR</t>
        </is>
      </c>
      <c r="H123" s="13">
        <f>IF(G123="PLN",1,IF(G123="EUR",VLOOKUP(A123,Kursy!$A$4:$C$33,2,FALSE),VLOOKUP(A123,Kursy!$A$4:$C$33,3,FALSE)))</f>
        <v/>
      </c>
      <c r="I123" s="14">
        <f>ROUND(F123*H123,2)</f>
        <v/>
      </c>
      <c r="J123" s="14">
        <f>ROUND(I123*0.5628,2)</f>
        <v/>
      </c>
      <c r="K123" s="14">
        <f>ROUND(I123*0.15,2)</f>
        <v/>
      </c>
      <c r="L123" s="14" t="n">
        <v>23.25</v>
      </c>
      <c r="M123" t="inlineStr">
        <is>
          <t>DPD1579187439</t>
        </is>
      </c>
      <c r="N123" s="14" t="n">
        <v>33.48</v>
      </c>
      <c r="O123" t="inlineStr"/>
      <c r="P123" s="14">
        <f>IF(O123="TAK",-(K123+L123+N123),I123-J123-K123-L123-N123)</f>
        <v/>
      </c>
      <c r="Q123" s="15">
        <f>IF(I123=0,0,P123/I123)</f>
        <v/>
      </c>
    </row>
    <row r="124">
      <c r="A124" t="inlineStr">
        <is>
          <t>2026-06-26</t>
        </is>
      </c>
      <c r="B124" t="inlineStr">
        <is>
          <t>Allegro</t>
        </is>
      </c>
      <c r="C124" t="inlineStr">
        <is>
          <t>CZ</t>
        </is>
      </c>
      <c r="D124" t="inlineStr">
        <is>
          <t>LMP-001</t>
        </is>
      </c>
      <c r="E124" t="n">
        <v>3</v>
      </c>
      <c r="F124" t="n">
        <v>418.8</v>
      </c>
      <c r="G124" t="inlineStr">
        <is>
          <t>CZK</t>
        </is>
      </c>
      <c r="H124" s="13">
        <f>IF(G124="PLN",1,IF(G124="EUR",VLOOKUP(A124,Kursy!$A$4:$C$33,2,FALSE),VLOOKUP(A124,Kursy!$A$4:$C$33,3,FALSE)))</f>
        <v/>
      </c>
      <c r="I124" s="14">
        <f>ROUND(F124*H124,2)</f>
        <v/>
      </c>
      <c r="J124" s="14">
        <f>ROUND(I124*0.4667,2)</f>
        <v/>
      </c>
      <c r="K124" s="14">
        <f>ROUND(I124*0.09,2)</f>
        <v/>
      </c>
      <c r="L124" s="14" t="n">
        <v>26.13</v>
      </c>
      <c r="M124" t="inlineStr">
        <is>
          <t>DPD7627266377</t>
        </is>
      </c>
      <c r="N124" s="14" t="n">
        <v>19.6</v>
      </c>
      <c r="O124" t="inlineStr"/>
      <c r="P124" s="14">
        <f>IF(O124="TAK",-(K124+L124+N124),I124-J124-K124-L124-N124)</f>
        <v/>
      </c>
      <c r="Q124" s="15">
        <f>IF(I124=0,0,P124/I124)</f>
        <v/>
      </c>
    </row>
    <row r="125">
      <c r="A125" t="inlineStr">
        <is>
          <t>2026-06-02</t>
        </is>
      </c>
      <c r="B125" t="inlineStr">
        <is>
          <t>Amazon</t>
        </is>
      </c>
      <c r="C125" t="inlineStr">
        <is>
          <t>ES</t>
        </is>
      </c>
      <c r="D125" t="inlineStr">
        <is>
          <t>STO-100</t>
        </is>
      </c>
      <c r="E125" t="n">
        <v>3</v>
      </c>
      <c r="F125" t="n">
        <v>916.2</v>
      </c>
      <c r="G125" t="inlineStr">
        <is>
          <t>EUR</t>
        </is>
      </c>
      <c r="H125" s="13">
        <f>IF(G125="PLN",1,IF(G125="EUR",VLOOKUP(A125,Kursy!$A$4:$C$33,2,FALSE),VLOOKUP(A125,Kursy!$A$4:$C$33,3,FALSE)))</f>
        <v/>
      </c>
      <c r="I125" s="14">
        <f>ROUND(F125*H125,2)</f>
        <v/>
      </c>
      <c r="J125" s="14">
        <f>ROUND(I125*0.5131,2)</f>
        <v/>
      </c>
      <c r="K125" s="14">
        <f>ROUND(I125*0.15,2)</f>
        <v/>
      </c>
      <c r="L125" s="14" t="n">
        <v>3.49</v>
      </c>
      <c r="M125" t="inlineStr">
        <is>
          <t>DPD9403012103</t>
        </is>
      </c>
      <c r="N125" s="14" t="n">
        <v>22.17</v>
      </c>
      <c r="O125" t="inlineStr"/>
      <c r="P125" s="14">
        <f>IF(O125="TAK",-(K125+L125+N125),I125-J125-K125-L125-N125)</f>
        <v/>
      </c>
      <c r="Q125" s="15">
        <f>IF(I125=0,0,P125/I125)</f>
        <v/>
      </c>
    </row>
    <row r="126">
      <c r="A126" t="inlineStr">
        <is>
          <t>2026-06-26</t>
        </is>
      </c>
      <c r="B126" t="inlineStr">
        <is>
          <t>Amazon</t>
        </is>
      </c>
      <c r="C126" t="inlineStr">
        <is>
          <t>IT</t>
        </is>
      </c>
      <c r="D126" t="inlineStr">
        <is>
          <t>ZEG-440</t>
        </is>
      </c>
      <c r="E126" t="n">
        <v>4</v>
      </c>
      <c r="F126" t="n">
        <v>724.8</v>
      </c>
      <c r="G126" t="inlineStr">
        <is>
          <t>EUR</t>
        </is>
      </c>
      <c r="H126" s="13">
        <f>IF(G126="PLN",1,IF(G126="EUR",VLOOKUP(A126,Kursy!$A$4:$C$33,2,FALSE),VLOOKUP(A126,Kursy!$A$4:$C$33,3,FALSE)))</f>
        <v/>
      </c>
      <c r="I126" s="14">
        <f>ROUND(F126*H126,2)</f>
        <v/>
      </c>
      <c r="J126" s="14">
        <f>ROUND(I126*0.5882,2)</f>
        <v/>
      </c>
      <c r="K126" s="14">
        <f>ROUND(I126*0.15,2)</f>
        <v/>
      </c>
      <c r="L126" s="14" t="n">
        <v>20.36</v>
      </c>
      <c r="M126" t="inlineStr">
        <is>
          <t>DHL6556684476</t>
        </is>
      </c>
      <c r="N126" s="14" t="n">
        <v>15.08</v>
      </c>
      <c r="O126" t="inlineStr"/>
      <c r="P126" s="14">
        <f>IF(O126="TAK",-(K126+L126+N126),I126-J126-K126-L126-N126)</f>
        <v/>
      </c>
      <c r="Q126" s="15">
        <f>IF(I126=0,0,P126/I126)</f>
        <v/>
      </c>
    </row>
    <row r="127">
      <c r="A127" t="inlineStr">
        <is>
          <t>2026-06-23</t>
        </is>
      </c>
      <c r="B127" t="inlineStr">
        <is>
          <t>eBay</t>
        </is>
      </c>
      <c r="C127" t="inlineStr">
        <is>
          <t>FR</t>
        </is>
      </c>
      <c r="D127" t="inlineStr">
        <is>
          <t>STO-100</t>
        </is>
      </c>
      <c r="E127" t="n">
        <v>3</v>
      </c>
      <c r="F127" t="n">
        <v>602.76</v>
      </c>
      <c r="G127" t="inlineStr">
        <is>
          <t>EUR</t>
        </is>
      </c>
      <c r="H127" s="13">
        <f>IF(G127="PLN",1,IF(G127="EUR",VLOOKUP(A127,Kursy!$A$4:$C$33,2,FALSE),VLOOKUP(A127,Kursy!$A$4:$C$33,3,FALSE)))</f>
        <v/>
      </c>
      <c r="I127" s="14">
        <f>ROUND(F127*H127,2)</f>
        <v/>
      </c>
      <c r="J127" s="14">
        <f>ROUND(I127*0.5704,2)</f>
        <v/>
      </c>
      <c r="K127" s="14">
        <f>ROUND(I127*0.11,2)</f>
        <v/>
      </c>
      <c r="L127" s="14" t="n">
        <v>9.84</v>
      </c>
      <c r="M127" t="inlineStr">
        <is>
          <t>DHL9210290540</t>
        </is>
      </c>
      <c r="N127" s="14" t="n">
        <v>30.45</v>
      </c>
      <c r="O127" t="inlineStr"/>
      <c r="P127" s="14">
        <f>IF(O127="TAK",-(K127+L127+N127),I127-J127-K127-L127-N127)</f>
        <v/>
      </c>
      <c r="Q127" s="15">
        <f>IF(I127=0,0,P127/I127)</f>
        <v/>
      </c>
    </row>
    <row r="128">
      <c r="A128" t="inlineStr">
        <is>
          <t>2026-06-21</t>
        </is>
      </c>
      <c r="B128" t="inlineStr">
        <is>
          <t>Allegro</t>
        </is>
      </c>
      <c r="C128" t="inlineStr">
        <is>
          <t>PL</t>
        </is>
      </c>
      <c r="D128" t="inlineStr">
        <is>
          <t>STO-100</t>
        </is>
      </c>
      <c r="E128" t="n">
        <v>1</v>
      </c>
      <c r="F128" t="n">
        <v>107.84</v>
      </c>
      <c r="G128" t="inlineStr">
        <is>
          <t>PLN</t>
        </is>
      </c>
      <c r="H128" s="13">
        <f>IF(G128="PLN",1,IF(G128="EUR",VLOOKUP(A128,Kursy!$A$4:$C$33,2,FALSE),VLOOKUP(A128,Kursy!$A$4:$C$33,3,FALSE)))</f>
        <v/>
      </c>
      <c r="I128" s="14">
        <f>ROUND(F128*H128,2)</f>
        <v/>
      </c>
      <c r="J128" s="14">
        <f>ROUND(I128*0.5421,2)</f>
        <v/>
      </c>
      <c r="K128" s="14">
        <f>ROUND(I128*0.09,2)</f>
        <v/>
      </c>
      <c r="L128" s="14" t="n">
        <v>21</v>
      </c>
      <c r="M128" t="inlineStr">
        <is>
          <t>DHL5092199300</t>
        </is>
      </c>
      <c r="N128" s="14" t="n">
        <v>16.28</v>
      </c>
      <c r="O128" t="inlineStr"/>
      <c r="P128" s="14">
        <f>IF(O128="TAK",-(K128+L128+N128),I128-J128-K128-L128-N128)</f>
        <v/>
      </c>
      <c r="Q128" s="15">
        <f>IF(I128=0,0,P128/I128)</f>
        <v/>
      </c>
    </row>
    <row r="129">
      <c r="A129" t="inlineStr">
        <is>
          <t>2026-06-25</t>
        </is>
      </c>
      <c r="B129" t="inlineStr">
        <is>
          <t>Allegro</t>
        </is>
      </c>
      <c r="C129" t="inlineStr">
        <is>
          <t>CZ</t>
        </is>
      </c>
      <c r="D129" t="inlineStr">
        <is>
          <t>LMP-001</t>
        </is>
      </c>
      <c r="E129" t="n">
        <v>2</v>
      </c>
      <c r="F129" t="n">
        <v>211.76</v>
      </c>
      <c r="G129" t="inlineStr">
        <is>
          <t>CZK</t>
        </is>
      </c>
      <c r="H129" s="13">
        <f>IF(G129="PLN",1,IF(G129="EUR",VLOOKUP(A129,Kursy!$A$4:$C$33,2,FALSE),VLOOKUP(A129,Kursy!$A$4:$C$33,3,FALSE)))</f>
        <v/>
      </c>
      <c r="I129" s="14">
        <f>ROUND(F129*H129,2)</f>
        <v/>
      </c>
      <c r="J129" s="14">
        <f>ROUND(I129*0.5179,2)</f>
        <v/>
      </c>
      <c r="K129" s="14">
        <f>ROUND(I129*0.09,2)</f>
        <v/>
      </c>
      <c r="L129" s="14" t="n">
        <v>26.59</v>
      </c>
      <c r="M129" t="inlineStr">
        <is>
          <t>DHL3598862507</t>
        </is>
      </c>
      <c r="N129" s="14" t="n">
        <v>32.37</v>
      </c>
      <c r="O129" t="inlineStr"/>
      <c r="P129" s="14">
        <f>IF(O129="TAK",-(K129+L129+N129),I129-J129-K129-L129-N129)</f>
        <v/>
      </c>
      <c r="Q129" s="15">
        <f>IF(I129=0,0,P129/I129)</f>
        <v/>
      </c>
    </row>
    <row r="130">
      <c r="A130" t="inlineStr">
        <is>
          <t>2026-06-19</t>
        </is>
      </c>
      <c r="B130" t="inlineStr">
        <is>
          <t>eBay</t>
        </is>
      </c>
      <c r="C130" t="inlineStr">
        <is>
          <t>FR</t>
        </is>
      </c>
      <c r="D130" t="inlineStr">
        <is>
          <t>DYW-220</t>
        </is>
      </c>
      <c r="E130" t="n">
        <v>4</v>
      </c>
      <c r="F130" t="n">
        <v>1122.12</v>
      </c>
      <c r="G130" t="inlineStr">
        <is>
          <t>EUR</t>
        </is>
      </c>
      <c r="H130" s="13">
        <f>IF(G130="PLN",1,IF(G130="EUR",VLOOKUP(A130,Kursy!$A$4:$C$33,2,FALSE),VLOOKUP(A130,Kursy!$A$4:$C$33,3,FALSE)))</f>
        <v/>
      </c>
      <c r="I130" s="14">
        <f>ROUND(F130*H130,2)</f>
        <v/>
      </c>
      <c r="J130" s="14">
        <f>ROUND(I130*0.5187,2)</f>
        <v/>
      </c>
      <c r="K130" s="14">
        <f>ROUND(I130*0.11,2)</f>
        <v/>
      </c>
      <c r="L130" s="14" t="n">
        <v>8.800000000000001</v>
      </c>
      <c r="M130" t="inlineStr">
        <is>
          <t>DPD1487258103</t>
        </is>
      </c>
      <c r="N130" s="14" t="n">
        <v>34.07</v>
      </c>
      <c r="O130" t="inlineStr"/>
      <c r="P130" s="14">
        <f>IF(O130="TAK",-(K130+L130+N130),I130-J130-K130-L130-N130)</f>
        <v/>
      </c>
      <c r="Q130" s="15">
        <f>IF(I130=0,0,P130/I130)</f>
        <v/>
      </c>
    </row>
    <row r="131">
      <c r="A131" t="inlineStr">
        <is>
          <t>2026-06-09</t>
        </is>
      </c>
      <c r="B131" t="inlineStr">
        <is>
          <t>Allegro</t>
        </is>
      </c>
      <c r="C131" t="inlineStr">
        <is>
          <t>CZ</t>
        </is>
      </c>
      <c r="D131" t="inlineStr">
        <is>
          <t>POL-330</t>
        </is>
      </c>
      <c r="E131" t="n">
        <v>1</v>
      </c>
      <c r="F131" t="n">
        <v>154.71</v>
      </c>
      <c r="G131" t="inlineStr">
        <is>
          <t>CZK</t>
        </is>
      </c>
      <c r="H131" s="13">
        <f>IF(G131="PLN",1,IF(G131="EUR",VLOOKUP(A131,Kursy!$A$4:$C$33,2,FALSE),VLOOKUP(A131,Kursy!$A$4:$C$33,3,FALSE)))</f>
        <v/>
      </c>
      <c r="I131" s="14">
        <f>ROUND(F131*H131,2)</f>
        <v/>
      </c>
      <c r="J131" s="14">
        <f>ROUND(I131*0.4943,2)</f>
        <v/>
      </c>
      <c r="K131" s="14">
        <f>ROUND(I131*0.09,2)</f>
        <v/>
      </c>
      <c r="L131" s="14" t="n">
        <v>17.13</v>
      </c>
      <c r="M131" t="inlineStr">
        <is>
          <t>DPD1859759428</t>
        </is>
      </c>
      <c r="N131" s="14" t="n">
        <v>16.07</v>
      </c>
      <c r="O131" t="inlineStr"/>
      <c r="P131" s="14">
        <f>IF(O131="TAK",-(K131+L131+N131),I131-J131-K131-L131-N131)</f>
        <v/>
      </c>
      <c r="Q131" s="15">
        <f>IF(I131=0,0,P131/I131)</f>
        <v/>
      </c>
    </row>
    <row r="132">
      <c r="A132" t="inlineStr">
        <is>
          <t>2026-06-15</t>
        </is>
      </c>
      <c r="B132" t="inlineStr">
        <is>
          <t>Amazon</t>
        </is>
      </c>
      <c r="C132" t="inlineStr">
        <is>
          <t>FR</t>
        </is>
      </c>
      <c r="D132" t="inlineStr">
        <is>
          <t>ZEG-440</t>
        </is>
      </c>
      <c r="E132" t="n">
        <v>2</v>
      </c>
      <c r="F132" t="n">
        <v>629.14</v>
      </c>
      <c r="G132" t="inlineStr">
        <is>
          <t>EUR</t>
        </is>
      </c>
      <c r="H132" s="13">
        <f>IF(G132="PLN",1,IF(G132="EUR",VLOOKUP(A132,Kursy!$A$4:$C$33,2,FALSE),VLOOKUP(A132,Kursy!$A$4:$C$33,3,FALSE)))</f>
        <v/>
      </c>
      <c r="I132" s="14">
        <f>ROUND(F132*H132,2)</f>
        <v/>
      </c>
      <c r="J132" s="14">
        <f>ROUND(I132*0.5897,2)</f>
        <v/>
      </c>
      <c r="K132" s="14">
        <f>ROUND(I132*0.15,2)</f>
        <v/>
      </c>
      <c r="L132" s="14" t="n">
        <v>27.09</v>
      </c>
      <c r="M132" t="inlineStr">
        <is>
          <t>DPD8163317351</t>
        </is>
      </c>
      <c r="N132" s="14" t="n">
        <v>33.29</v>
      </c>
      <c r="O132" t="inlineStr"/>
      <c r="P132" s="14">
        <f>IF(O132="TAK",-(K132+L132+N132),I132-J132-K132-L132-N132)</f>
        <v/>
      </c>
      <c r="Q132" s="15">
        <f>IF(I132=0,0,P132/I132)</f>
        <v/>
      </c>
    </row>
    <row r="133">
      <c r="A133" t="inlineStr">
        <is>
          <t>2026-06-23</t>
        </is>
      </c>
      <c r="B133" t="inlineStr">
        <is>
          <t>PrestaShop</t>
        </is>
      </c>
      <c r="C133" t="inlineStr">
        <is>
          <t>PL</t>
        </is>
      </c>
      <c r="D133" t="inlineStr">
        <is>
          <t>STO-100</t>
        </is>
      </c>
      <c r="E133" t="n">
        <v>3</v>
      </c>
      <c r="F133" t="n">
        <v>908.0700000000001</v>
      </c>
      <c r="G133" t="inlineStr">
        <is>
          <t>PLN</t>
        </is>
      </c>
      <c r="H133" s="13">
        <f>IF(G133="PLN",1,IF(G133="EUR",VLOOKUP(A133,Kursy!$A$4:$C$33,2,FALSE),VLOOKUP(A133,Kursy!$A$4:$C$33,3,FALSE)))</f>
        <v/>
      </c>
      <c r="I133" s="14">
        <f>ROUND(F133*H133,2)</f>
        <v/>
      </c>
      <c r="J133" s="14">
        <f>ROUND(I133*0.572,2)</f>
        <v/>
      </c>
      <c r="K133" s="14">
        <f>ROUND(I133*0.0,2)</f>
        <v/>
      </c>
      <c r="L133" s="14" t="n">
        <v>4.87</v>
      </c>
      <c r="M133" t="inlineStr">
        <is>
          <t>DPD3185089287</t>
        </is>
      </c>
      <c r="N133" s="14" t="n">
        <v>15.64</v>
      </c>
      <c r="O133" t="inlineStr"/>
      <c r="P133" s="14">
        <f>IF(O133="TAK",-(K133+L133+N133),I133-J133-K133-L133-N133)</f>
        <v/>
      </c>
      <c r="Q133" s="15">
        <f>IF(I133=0,0,P133/I133)</f>
        <v/>
      </c>
    </row>
    <row r="134">
      <c r="A134" t="inlineStr">
        <is>
          <t>2026-06-01</t>
        </is>
      </c>
      <c r="B134" t="inlineStr">
        <is>
          <t>Amazon</t>
        </is>
      </c>
      <c r="C134" t="inlineStr">
        <is>
          <t>ES</t>
        </is>
      </c>
      <c r="D134" t="inlineStr">
        <is>
          <t>KRZ-010</t>
        </is>
      </c>
      <c r="E134" t="n">
        <v>2</v>
      </c>
      <c r="F134" t="n">
        <v>574.76</v>
      </c>
      <c r="G134" t="inlineStr">
        <is>
          <t>EUR</t>
        </is>
      </c>
      <c r="H134" s="13">
        <f>IF(G134="PLN",1,IF(G134="EUR",VLOOKUP(A134,Kursy!$A$4:$C$33,2,FALSE),VLOOKUP(A134,Kursy!$A$4:$C$33,3,FALSE)))</f>
        <v/>
      </c>
      <c r="I134" s="14">
        <f>ROUND(F134*H134,2)</f>
        <v/>
      </c>
      <c r="J134" s="14">
        <f>ROUND(I134*0.5516,2)</f>
        <v/>
      </c>
      <c r="K134" s="14">
        <f>ROUND(I134*0.15,2)</f>
        <v/>
      </c>
      <c r="L134" s="14" t="n">
        <v>13.09</v>
      </c>
      <c r="M134" t="inlineStr">
        <is>
          <t>DHL1370292681</t>
        </is>
      </c>
      <c r="N134" s="14" t="n">
        <v>21.28</v>
      </c>
      <c r="O134" t="inlineStr"/>
      <c r="P134" s="14">
        <f>IF(O134="TAK",-(K134+L134+N134),I134-J134-K134-L134-N134)</f>
        <v/>
      </c>
      <c r="Q134" s="15">
        <f>IF(I134=0,0,P134/I134)</f>
        <v/>
      </c>
    </row>
    <row r="135">
      <c r="A135" t="inlineStr">
        <is>
          <t>2026-06-03</t>
        </is>
      </c>
      <c r="B135" t="inlineStr">
        <is>
          <t>Allegro</t>
        </is>
      </c>
      <c r="C135" t="inlineStr">
        <is>
          <t>CZ</t>
        </is>
      </c>
      <c r="D135" t="inlineStr">
        <is>
          <t>POL-330</t>
        </is>
      </c>
      <c r="E135" t="n">
        <v>4</v>
      </c>
      <c r="F135" t="n">
        <v>1182.64</v>
      </c>
      <c r="G135" t="inlineStr">
        <is>
          <t>CZK</t>
        </is>
      </c>
      <c r="H135" s="13">
        <f>IF(G135="PLN",1,IF(G135="EUR",VLOOKUP(A135,Kursy!$A$4:$C$33,2,FALSE),VLOOKUP(A135,Kursy!$A$4:$C$33,3,FALSE)))</f>
        <v/>
      </c>
      <c r="I135" s="14">
        <f>ROUND(F135*H135,2)</f>
        <v/>
      </c>
      <c r="J135" s="14">
        <f>ROUND(I135*0.5107,2)</f>
        <v/>
      </c>
      <c r="K135" s="14">
        <f>ROUND(I135*0.09,2)</f>
        <v/>
      </c>
      <c r="L135" s="14" t="n">
        <v>2.08</v>
      </c>
      <c r="M135" t="inlineStr">
        <is>
          <t>DPD2479679716</t>
        </is>
      </c>
      <c r="N135" s="14" t="n">
        <v>38.34</v>
      </c>
      <c r="O135" t="inlineStr"/>
      <c r="P135" s="14">
        <f>IF(O135="TAK",-(K135+L135+N135),I135-J135-K135-L135-N135)</f>
        <v/>
      </c>
      <c r="Q135" s="15">
        <f>IF(I135=0,0,P135/I135)</f>
        <v/>
      </c>
    </row>
    <row r="136">
      <c r="A136" t="inlineStr">
        <is>
          <t>2026-06-30</t>
        </is>
      </c>
      <c r="B136" t="inlineStr">
        <is>
          <t>PrestaShop</t>
        </is>
      </c>
      <c r="C136" t="inlineStr">
        <is>
          <t>PL</t>
        </is>
      </c>
      <c r="D136" t="inlineStr">
        <is>
          <t>KRZ-010</t>
        </is>
      </c>
      <c r="E136" t="n">
        <v>2</v>
      </c>
      <c r="F136" t="n">
        <v>395.18</v>
      </c>
      <c r="G136" t="inlineStr">
        <is>
          <t>PLN</t>
        </is>
      </c>
      <c r="H136" s="13">
        <f>IF(G136="PLN",1,IF(G136="EUR",VLOOKUP(A136,Kursy!$A$4:$C$33,2,FALSE),VLOOKUP(A136,Kursy!$A$4:$C$33,3,FALSE)))</f>
        <v/>
      </c>
      <c r="I136" s="14">
        <f>ROUND(F136*H136,2)</f>
        <v/>
      </c>
      <c r="J136" s="14">
        <f>ROUND(I136*0.593,2)</f>
        <v/>
      </c>
      <c r="K136" s="14">
        <f>ROUND(I136*0.0,2)</f>
        <v/>
      </c>
      <c r="L136" s="14" t="n">
        <v>14.51</v>
      </c>
      <c r="M136" t="inlineStr">
        <is>
          <t>DPD1707196784</t>
        </is>
      </c>
      <c r="N136" s="14" t="n">
        <v>21.68</v>
      </c>
      <c r="O136" t="inlineStr"/>
      <c r="P136" s="14">
        <f>IF(O136="TAK",-(K136+L136+N136),I136-J136-K136-L136-N136)</f>
        <v/>
      </c>
      <c r="Q136" s="15">
        <f>IF(I136=0,0,P136/I136)</f>
        <v/>
      </c>
    </row>
    <row r="137">
      <c r="A137" t="inlineStr">
        <is>
          <t>2026-06-09</t>
        </is>
      </c>
      <c r="B137" t="inlineStr">
        <is>
          <t>Amazon</t>
        </is>
      </c>
      <c r="C137" t="inlineStr">
        <is>
          <t>ES</t>
        </is>
      </c>
      <c r="D137" t="inlineStr">
        <is>
          <t>DYW-220</t>
        </is>
      </c>
      <c r="E137" t="n">
        <v>3</v>
      </c>
      <c r="F137" t="n">
        <v>903.99</v>
      </c>
      <c r="G137" t="inlineStr">
        <is>
          <t>EUR</t>
        </is>
      </c>
      <c r="H137" s="13">
        <f>IF(G137="PLN",1,IF(G137="EUR",VLOOKUP(A137,Kursy!$A$4:$C$33,2,FALSE),VLOOKUP(A137,Kursy!$A$4:$C$33,3,FALSE)))</f>
        <v/>
      </c>
      <c r="I137" s="14">
        <f>ROUND(F137*H137,2)</f>
        <v/>
      </c>
      <c r="J137" s="14">
        <f>ROUND(I137*0.613,2)</f>
        <v/>
      </c>
      <c r="K137" s="14">
        <f>ROUND(I137*0.15,2)</f>
        <v/>
      </c>
      <c r="L137" s="14" t="n">
        <v>7.68</v>
      </c>
      <c r="M137" t="inlineStr">
        <is>
          <t>DPD9991206531</t>
        </is>
      </c>
      <c r="N137" s="14" t="n">
        <v>31.23</v>
      </c>
      <c r="O137" t="inlineStr"/>
      <c r="P137" s="14">
        <f>IF(O137="TAK",-(K137+L137+N137),I137-J137-K137-L137-N137)</f>
        <v/>
      </c>
      <c r="Q137" s="15">
        <f>IF(I137=0,0,P137/I137)</f>
        <v/>
      </c>
    </row>
    <row r="138">
      <c r="A138" t="inlineStr">
        <is>
          <t>2026-06-19</t>
        </is>
      </c>
      <c r="B138" t="inlineStr">
        <is>
          <t>Amazon</t>
        </is>
      </c>
      <c r="C138" t="inlineStr">
        <is>
          <t>IT</t>
        </is>
      </c>
      <c r="D138" t="inlineStr">
        <is>
          <t>KRZ-010</t>
        </is>
      </c>
      <c r="E138" t="n">
        <v>3</v>
      </c>
      <c r="F138" t="n">
        <v>901.4400000000001</v>
      </c>
      <c r="G138" t="inlineStr">
        <is>
          <t>EUR</t>
        </is>
      </c>
      <c r="H138" s="13">
        <f>IF(G138="PLN",1,IF(G138="EUR",VLOOKUP(A138,Kursy!$A$4:$C$33,2,FALSE),VLOOKUP(A138,Kursy!$A$4:$C$33,3,FALSE)))</f>
        <v/>
      </c>
      <c r="I138" s="14">
        <f>ROUND(F138*H138,2)</f>
        <v/>
      </c>
      <c r="J138" s="14">
        <f>ROUND(I138*0.5982,2)</f>
        <v/>
      </c>
      <c r="K138" s="14">
        <f>ROUND(I138*0.15,2)</f>
        <v/>
      </c>
      <c r="L138" s="14" t="n">
        <v>2.27</v>
      </c>
      <c r="M138" t="inlineStr">
        <is>
          <t>DPD3796581976</t>
        </is>
      </c>
      <c r="N138" s="14" t="n">
        <v>35.01</v>
      </c>
      <c r="O138" t="inlineStr">
        <is>
          <t>TAK</t>
        </is>
      </c>
      <c r="P138" s="14">
        <f>IF(O138="TAK",-(K138+L138+N138),I138-J138-K138-L138-N138)</f>
        <v/>
      </c>
      <c r="Q138" s="15">
        <f>IF(I138=0,0,P138/I138)</f>
        <v/>
      </c>
    </row>
    <row r="139">
      <c r="A139" t="inlineStr">
        <is>
          <t>2026-06-18</t>
        </is>
      </c>
      <c r="B139" t="inlineStr">
        <is>
          <t>Allegro</t>
        </is>
      </c>
      <c r="C139" t="inlineStr">
        <is>
          <t>PL</t>
        </is>
      </c>
      <c r="D139" t="inlineStr">
        <is>
          <t>LMP-001</t>
        </is>
      </c>
      <c r="E139" t="n">
        <v>4</v>
      </c>
      <c r="F139" t="n">
        <v>1248.56</v>
      </c>
      <c r="G139" t="inlineStr">
        <is>
          <t>PLN</t>
        </is>
      </c>
      <c r="H139" s="13">
        <f>IF(G139="PLN",1,IF(G139="EUR",VLOOKUP(A139,Kursy!$A$4:$C$33,2,FALSE),VLOOKUP(A139,Kursy!$A$4:$C$33,3,FALSE)))</f>
        <v/>
      </c>
      <c r="I139" s="14">
        <f>ROUND(F139*H139,2)</f>
        <v/>
      </c>
      <c r="J139" s="14">
        <f>ROUND(I139*0.6131,2)</f>
        <v/>
      </c>
      <c r="K139" s="14">
        <f>ROUND(I139*0.09,2)</f>
        <v/>
      </c>
      <c r="L139" s="14" t="n">
        <v>13.52</v>
      </c>
      <c r="M139" t="inlineStr">
        <is>
          <t>DPD6572436051</t>
        </is>
      </c>
      <c r="N139" s="14" t="n">
        <v>14.19</v>
      </c>
      <c r="O139" t="inlineStr"/>
      <c r="P139" s="14">
        <f>IF(O139="TAK",-(K139+L139+N139),I139-J139-K139-L139-N139)</f>
        <v/>
      </c>
      <c r="Q139" s="15">
        <f>IF(I139=0,0,P139/I139)</f>
        <v/>
      </c>
    </row>
    <row r="140">
      <c r="A140" t="inlineStr">
        <is>
          <t>2026-06-15</t>
        </is>
      </c>
      <c r="B140" t="inlineStr">
        <is>
          <t>Amazon</t>
        </is>
      </c>
      <c r="C140" t="inlineStr">
        <is>
          <t>DE</t>
        </is>
      </c>
      <c r="D140" t="inlineStr">
        <is>
          <t>KRZ-010</t>
        </is>
      </c>
      <c r="E140" t="n">
        <v>4</v>
      </c>
      <c r="F140" t="n">
        <v>773.28</v>
      </c>
      <c r="G140" t="inlineStr">
        <is>
          <t>EUR</t>
        </is>
      </c>
      <c r="H140" s="13">
        <f>IF(G140="PLN",1,IF(G140="EUR",VLOOKUP(A140,Kursy!$A$4:$C$33,2,FALSE),VLOOKUP(A140,Kursy!$A$4:$C$33,3,FALSE)))</f>
        <v/>
      </c>
      <c r="I140" s="14">
        <f>ROUND(F140*H140,2)</f>
        <v/>
      </c>
      <c r="J140" s="14">
        <f>ROUND(I140*0.5571,2)</f>
        <v/>
      </c>
      <c r="K140" s="14">
        <f>ROUND(I140*0.15,2)</f>
        <v/>
      </c>
      <c r="L140" s="14" t="n">
        <v>8.75</v>
      </c>
      <c r="M140" t="inlineStr">
        <is>
          <t>DPD8991977937</t>
        </is>
      </c>
      <c r="N140" s="14" t="n">
        <v>41.26</v>
      </c>
      <c r="O140" t="inlineStr"/>
      <c r="P140" s="14">
        <f>IF(O140="TAK",-(K140+L140+N140),I140-J140-K140-L140-N140)</f>
        <v/>
      </c>
      <c r="Q140" s="15">
        <f>IF(I140=0,0,P140/I140)</f>
        <v/>
      </c>
    </row>
    <row r="141">
      <c r="A141" t="inlineStr">
        <is>
          <t>2026-06-15</t>
        </is>
      </c>
      <c r="B141" t="inlineStr">
        <is>
          <t>Amazon</t>
        </is>
      </c>
      <c r="C141" t="inlineStr">
        <is>
          <t>IT</t>
        </is>
      </c>
      <c r="D141" t="inlineStr">
        <is>
          <t>DYW-220</t>
        </is>
      </c>
      <c r="E141" t="n">
        <v>1</v>
      </c>
      <c r="F141" t="n">
        <v>169.1</v>
      </c>
      <c r="G141" t="inlineStr">
        <is>
          <t>EUR</t>
        </is>
      </c>
      <c r="H141" s="13">
        <f>IF(G141="PLN",1,IF(G141="EUR",VLOOKUP(A141,Kursy!$A$4:$C$33,2,FALSE),VLOOKUP(A141,Kursy!$A$4:$C$33,3,FALSE)))</f>
        <v/>
      </c>
      <c r="I141" s="14">
        <f>ROUND(F141*H141,2)</f>
        <v/>
      </c>
      <c r="J141" s="14">
        <f>ROUND(I141*0.5319,2)</f>
        <v/>
      </c>
      <c r="K141" s="14">
        <f>ROUND(I141*0.15,2)</f>
        <v/>
      </c>
      <c r="L141" s="14" t="n">
        <v>3.94</v>
      </c>
      <c r="M141" t="inlineStr">
        <is>
          <t>DHL7937993287</t>
        </is>
      </c>
      <c r="N141" s="14" t="n">
        <v>19.45</v>
      </c>
      <c r="O141" t="inlineStr"/>
      <c r="P141" s="14">
        <f>IF(O141="TAK",-(K141+L141+N141),I141-J141-K141-L141-N141)</f>
        <v/>
      </c>
      <c r="Q141" s="15">
        <f>IF(I141=0,0,P141/I141)</f>
        <v/>
      </c>
    </row>
    <row r="142">
      <c r="A142" t="inlineStr">
        <is>
          <t>2026-06-06</t>
        </is>
      </c>
      <c r="B142" t="inlineStr">
        <is>
          <t>Amazon</t>
        </is>
      </c>
      <c r="C142" t="inlineStr">
        <is>
          <t>IT</t>
        </is>
      </c>
      <c r="D142" t="inlineStr">
        <is>
          <t>DYW-220</t>
        </is>
      </c>
      <c r="E142" t="n">
        <v>3</v>
      </c>
      <c r="F142" t="n">
        <v>409.95</v>
      </c>
      <c r="G142" t="inlineStr">
        <is>
          <t>EUR</t>
        </is>
      </c>
      <c r="H142" s="13">
        <f>IF(G142="PLN",1,IF(G142="EUR",VLOOKUP(A142,Kursy!$A$4:$C$33,2,FALSE),VLOOKUP(A142,Kursy!$A$4:$C$33,3,FALSE)))</f>
        <v/>
      </c>
      <c r="I142" s="14">
        <f>ROUND(F142*H142,2)</f>
        <v/>
      </c>
      <c r="J142" s="14">
        <f>ROUND(I142*0.5424,2)</f>
        <v/>
      </c>
      <c r="K142" s="14">
        <f>ROUND(I142*0.15,2)</f>
        <v/>
      </c>
      <c r="L142" s="14" t="n">
        <v>13.97</v>
      </c>
      <c r="M142" t="inlineStr">
        <is>
          <t>DPD3136189070</t>
        </is>
      </c>
      <c r="N142" s="14" t="n">
        <v>14.7</v>
      </c>
      <c r="O142" t="inlineStr"/>
      <c r="P142" s="14">
        <f>IF(O142="TAK",-(K142+L142+N142),I142-J142-K142-L142-N142)</f>
        <v/>
      </c>
      <c r="Q142" s="15">
        <f>IF(I142=0,0,P142/I142)</f>
        <v/>
      </c>
    </row>
    <row r="143">
      <c r="A143" t="inlineStr">
        <is>
          <t>2026-06-12</t>
        </is>
      </c>
      <c r="B143" t="inlineStr">
        <is>
          <t>Allegro</t>
        </is>
      </c>
      <c r="C143" t="inlineStr">
        <is>
          <t>PL</t>
        </is>
      </c>
      <c r="D143" t="inlineStr">
        <is>
          <t>ZEG-440</t>
        </is>
      </c>
      <c r="E143" t="n">
        <v>2</v>
      </c>
      <c r="F143" t="n">
        <v>286</v>
      </c>
      <c r="G143" t="inlineStr">
        <is>
          <t>PLN</t>
        </is>
      </c>
      <c r="H143" s="13">
        <f>IF(G143="PLN",1,IF(G143="EUR",VLOOKUP(A143,Kursy!$A$4:$C$33,2,FALSE),VLOOKUP(A143,Kursy!$A$4:$C$33,3,FALSE)))</f>
        <v/>
      </c>
      <c r="I143" s="14">
        <f>ROUND(F143*H143,2)</f>
        <v/>
      </c>
      <c r="J143" s="14">
        <f>ROUND(I143*0.505,2)</f>
        <v/>
      </c>
      <c r="K143" s="14">
        <f>ROUND(I143*0.09,2)</f>
        <v/>
      </c>
      <c r="L143" s="14" t="n">
        <v>16.73</v>
      </c>
      <c r="M143" t="inlineStr">
        <is>
          <t>DPD5756663747</t>
        </is>
      </c>
      <c r="N143" s="14" t="n">
        <v>16.02</v>
      </c>
      <c r="O143" t="inlineStr">
        <is>
          <t>TAK</t>
        </is>
      </c>
      <c r="P143" s="14">
        <f>IF(O143="TAK",-(K143+L143+N143),I143-J143-K143-L143-N143)</f>
        <v/>
      </c>
      <c r="Q143" s="15">
        <f>IF(I143=0,0,P143/I143)</f>
        <v/>
      </c>
    </row>
    <row r="144">
      <c r="A144" t="inlineStr">
        <is>
          <t>2026-06-13</t>
        </is>
      </c>
      <c r="B144" t="inlineStr">
        <is>
          <t>eBay</t>
        </is>
      </c>
      <c r="C144" t="inlineStr">
        <is>
          <t>DE</t>
        </is>
      </c>
      <c r="D144" t="inlineStr">
        <is>
          <t>DYW-220</t>
        </is>
      </c>
      <c r="E144" t="n">
        <v>4</v>
      </c>
      <c r="F144" t="n">
        <v>723.4</v>
      </c>
      <c r="G144" t="inlineStr">
        <is>
          <t>EUR</t>
        </is>
      </c>
      <c r="H144" s="13">
        <f>IF(G144="PLN",1,IF(G144="EUR",VLOOKUP(A144,Kursy!$A$4:$C$33,2,FALSE),VLOOKUP(A144,Kursy!$A$4:$C$33,3,FALSE)))</f>
        <v/>
      </c>
      <c r="I144" s="14">
        <f>ROUND(F144*H144,2)</f>
        <v/>
      </c>
      <c r="J144" s="14">
        <f>ROUND(I144*0.5499,2)</f>
        <v/>
      </c>
      <c r="K144" s="14">
        <f>ROUND(I144*0.11,2)</f>
        <v/>
      </c>
      <c r="L144" s="14" t="n">
        <v>10.15</v>
      </c>
      <c r="M144" t="inlineStr">
        <is>
          <t>DPD5610783750</t>
        </is>
      </c>
      <c r="N144" s="14" t="n">
        <v>27.13</v>
      </c>
      <c r="O144" t="inlineStr">
        <is>
          <t>TAK</t>
        </is>
      </c>
      <c r="P144" s="14">
        <f>IF(O144="TAK",-(K144+L144+N144),I144-J144-K144-L144-N144)</f>
        <v/>
      </c>
      <c r="Q144" s="15">
        <f>IF(I144=0,0,P144/I144)</f>
        <v/>
      </c>
    </row>
  </sheetData>
  <autoFilter ref="A4:Q144"/>
  <conditionalFormatting sqref="P5:P144">
    <cfRule type="cellIs" priority="1" operator="lessThan" dxfId="0">
      <formula>0</formula>
    </cfRule>
  </conditionalFormatting>
  <conditionalFormatting sqref="Q5:Q144">
    <cfRule type="cellIs" priority="2" operator="lessThan" dxfId="0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2026-07-21T19:58:43Z</dcterms:created>
  <dcterms:modified xmlns:dcterms="http://purl.org/dc/terms/" xmlns:xsi="http://www.w3.org/2001/XMLSchema-instance" xsi:type="dcterms:W3CDTF">2026-07-21T19:58:43Z</dcterms:modified>
</cp:coreProperties>
</file>